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8. Инвест.программа\1. ИПР МинЖКХиЭ\ОТЧЕТЫ МИН ЖКХ\2025 год\3 квартал 2025\"/>
    </mc:Choice>
  </mc:AlternateContent>
  <bookViews>
    <workbookView xWindow="0" yWindow="0" windowWidth="28800" windowHeight="12300"/>
  </bookViews>
  <sheets>
    <sheet name="Отчет об исп-е" sheetId="1" r:id="rId1"/>
    <sheet name="Отчет по вводу,выв-у" sheetId="3" r:id="rId2"/>
  </sheets>
  <definedNames>
    <definedName name="_xlnm.Print_Titles" localSheetId="0">'Отчет об исп-е'!$13:$15</definedName>
    <definedName name="_xlnm.Print_Area" localSheetId="0">'Отчет об исп-е'!$A$1:$AE$75</definedName>
    <definedName name="_xlnm.Print_Area" localSheetId="1">'Отчет по вводу,выв-у'!$A$1:$F$79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4" i="1" l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D42" i="1"/>
  <c r="M103" i="1" l="1"/>
  <c r="M88" i="1"/>
  <c r="M69" i="1"/>
  <c r="M68" i="1"/>
  <c r="M73" i="1"/>
  <c r="W90" i="1" l="1"/>
  <c r="W104" i="1"/>
  <c r="W91" i="1"/>
  <c r="S106" i="1" l="1"/>
  <c r="T106" i="1"/>
  <c r="I106" i="1"/>
  <c r="J106" i="1"/>
  <c r="AA106" i="1" s="1"/>
  <c r="AB106" i="1" s="1"/>
  <c r="Z106" i="1" l="1"/>
  <c r="U100" i="1"/>
  <c r="W103" i="1"/>
  <c r="Y103" i="1" s="1"/>
  <c r="J103" i="1"/>
  <c r="T103" i="1" l="1"/>
  <c r="Z103" i="1"/>
  <c r="AA103" i="1"/>
  <c r="AB103" i="1" s="1"/>
  <c r="W88" i="1"/>
  <c r="W84" i="1"/>
  <c r="U91" i="1" l="1"/>
  <c r="U49" i="1"/>
  <c r="W49" i="1" s="1"/>
  <c r="S59" i="1"/>
  <c r="U57" i="1"/>
  <c r="U59" i="1"/>
  <c r="T59" i="1" s="1"/>
  <c r="U52" i="1"/>
  <c r="W52" i="1" s="1"/>
  <c r="U95" i="1"/>
  <c r="U107" i="1"/>
  <c r="U97" i="1"/>
  <c r="U99" i="1"/>
  <c r="U104" i="1"/>
  <c r="T104" i="1" s="1"/>
  <c r="U105" i="1"/>
  <c r="T105" i="1" s="1"/>
  <c r="Y105" i="1" s="1"/>
  <c r="S104" i="1"/>
  <c r="S105" i="1"/>
  <c r="S107" i="1"/>
  <c r="T107" i="1"/>
  <c r="Y107" i="1" s="1"/>
  <c r="U69" i="1"/>
  <c r="W69" i="1" s="1"/>
  <c r="U68" i="1"/>
  <c r="W68" i="1" s="1"/>
  <c r="U73" i="1"/>
  <c r="W73" i="1" s="1"/>
  <c r="E75" i="1"/>
  <c r="F75" i="1"/>
  <c r="G75" i="1"/>
  <c r="H75" i="1"/>
  <c r="L75" i="1"/>
  <c r="M75" i="1"/>
  <c r="N75" i="1"/>
  <c r="O75" i="1"/>
  <c r="P75" i="1"/>
  <c r="Q75" i="1"/>
  <c r="R75" i="1"/>
  <c r="V75" i="1"/>
  <c r="W75" i="1"/>
  <c r="X75" i="1"/>
  <c r="D75" i="1"/>
  <c r="K105" i="1"/>
  <c r="J105" i="1" s="1"/>
  <c r="K104" i="1"/>
  <c r="I104" i="1"/>
  <c r="J104" i="1"/>
  <c r="I105" i="1"/>
  <c r="K90" i="1"/>
  <c r="K91" i="1"/>
  <c r="K92" i="1"/>
  <c r="Z105" i="1" l="1"/>
  <c r="AA105" i="1"/>
  <c r="AB105" i="1" s="1"/>
  <c r="Z104" i="1"/>
  <c r="AA104" i="1"/>
  <c r="AB104" i="1" s="1"/>
  <c r="U75" i="1"/>
  <c r="K100" i="1"/>
  <c r="K99" i="1"/>
  <c r="K97" i="1"/>
  <c r="K107" i="1"/>
  <c r="J107" i="1"/>
  <c r="K95" i="1"/>
  <c r="K84" i="1"/>
  <c r="K52" i="1"/>
  <c r="K49" i="1"/>
  <c r="K59" i="1"/>
  <c r="K57" i="1" s="1"/>
  <c r="Z57" i="1"/>
  <c r="Y57" i="1"/>
  <c r="X57" i="1"/>
  <c r="W57" i="1"/>
  <c r="V57" i="1"/>
  <c r="R57" i="1"/>
  <c r="Q57" i="1"/>
  <c r="P57" i="1"/>
  <c r="O57" i="1"/>
  <c r="N57" i="1"/>
  <c r="M57" i="1"/>
  <c r="L57" i="1"/>
  <c r="H57" i="1"/>
  <c r="G57" i="1"/>
  <c r="F57" i="1"/>
  <c r="D57" i="1"/>
  <c r="E57" i="1"/>
  <c r="K75" i="1" l="1"/>
  <c r="Z107" i="1"/>
  <c r="AA107" i="1"/>
  <c r="AB107" i="1" s="1"/>
  <c r="J59" i="1"/>
  <c r="K68" i="1" l="1"/>
  <c r="K73" i="1"/>
  <c r="K69" i="1"/>
  <c r="J53" i="1" l="1"/>
  <c r="D24" i="1"/>
  <c r="D72" i="1"/>
  <c r="D67" i="1"/>
  <c r="D41" i="1"/>
  <c r="D20" i="1" s="1"/>
  <c r="D66" i="1" l="1"/>
  <c r="D25" i="1" s="1"/>
  <c r="D17" i="1" s="1"/>
  <c r="D22" i="1" l="1"/>
  <c r="S18" i="1"/>
  <c r="S19" i="1"/>
  <c r="S21" i="1"/>
  <c r="S23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8" i="1"/>
  <c r="S57" i="1" s="1"/>
  <c r="S60" i="1"/>
  <c r="S61" i="1"/>
  <c r="S62" i="1"/>
  <c r="S63" i="1"/>
  <c r="S64" i="1"/>
  <c r="S65" i="1"/>
  <c r="S68" i="1"/>
  <c r="S69" i="1"/>
  <c r="S70" i="1"/>
  <c r="S71" i="1"/>
  <c r="S73" i="1"/>
  <c r="S74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I18" i="1"/>
  <c r="I19" i="1"/>
  <c r="I21" i="1"/>
  <c r="I23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8" i="1"/>
  <c r="I57" i="1" s="1"/>
  <c r="I60" i="1"/>
  <c r="I61" i="1"/>
  <c r="I62" i="1"/>
  <c r="I63" i="1"/>
  <c r="I64" i="1"/>
  <c r="I65" i="1"/>
  <c r="I68" i="1"/>
  <c r="I69" i="1"/>
  <c r="I70" i="1"/>
  <c r="I71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E67" i="1"/>
  <c r="I67" i="1" s="1"/>
  <c r="E72" i="1"/>
  <c r="I72" i="1" s="1"/>
  <c r="E24" i="1"/>
  <c r="I24" i="1" s="1"/>
  <c r="S75" i="1" l="1"/>
  <c r="I75" i="1"/>
  <c r="E41" i="1"/>
  <c r="E25" i="1" s="1"/>
  <c r="E66" i="1"/>
  <c r="T88" i="1"/>
  <c r="T89" i="1"/>
  <c r="T92" i="1"/>
  <c r="T93" i="1"/>
  <c r="T94" i="1"/>
  <c r="T95" i="1"/>
  <c r="T96" i="1"/>
  <c r="T97" i="1"/>
  <c r="Y97" i="1" s="1"/>
  <c r="Y75" i="1" s="1"/>
  <c r="T98" i="1"/>
  <c r="T99" i="1"/>
  <c r="T100" i="1"/>
  <c r="T101" i="1"/>
  <c r="T102" i="1"/>
  <c r="E22" i="1" l="1"/>
  <c r="I22" i="1" s="1"/>
  <c r="I66" i="1"/>
  <c r="E17" i="1"/>
  <c r="I17" i="1" s="1"/>
  <c r="I25" i="1"/>
  <c r="E20" i="1"/>
  <c r="I20" i="1" s="1"/>
  <c r="I41" i="1"/>
  <c r="J88" i="1"/>
  <c r="J89" i="1"/>
  <c r="J90" i="1"/>
  <c r="J92" i="1"/>
  <c r="J95" i="1"/>
  <c r="J96" i="1"/>
  <c r="J97" i="1"/>
  <c r="J98" i="1"/>
  <c r="J99" i="1"/>
  <c r="J100" i="1"/>
  <c r="J101" i="1"/>
  <c r="J102" i="1"/>
  <c r="J52" i="1"/>
  <c r="Z97" i="1" l="1"/>
  <c r="AA97" i="1"/>
  <c r="AB97" i="1" s="1"/>
  <c r="AA102" i="1"/>
  <c r="AB102" i="1" s="1"/>
  <c r="Z102" i="1"/>
  <c r="Z95" i="1"/>
  <c r="AA95" i="1"/>
  <c r="AB95" i="1" s="1"/>
  <c r="Z101" i="1"/>
  <c r="AA101" i="1"/>
  <c r="AB101" i="1" s="1"/>
  <c r="Z100" i="1"/>
  <c r="AA100" i="1"/>
  <c r="AB100" i="1" s="1"/>
  <c r="Z92" i="1"/>
  <c r="AA92" i="1"/>
  <c r="AB92" i="1" s="1"/>
  <c r="Z99" i="1"/>
  <c r="AA99" i="1"/>
  <c r="AB99" i="1" s="1"/>
  <c r="Z98" i="1"/>
  <c r="AA98" i="1"/>
  <c r="AB98" i="1" s="1"/>
  <c r="Z89" i="1"/>
  <c r="AA89" i="1"/>
  <c r="AB89" i="1" s="1"/>
  <c r="Z90" i="1"/>
  <c r="AA90" i="1"/>
  <c r="AB90" i="1" s="1"/>
  <c r="Z88" i="1"/>
  <c r="AA88" i="1"/>
  <c r="AB88" i="1" s="1"/>
  <c r="Z96" i="1"/>
  <c r="AA96" i="1"/>
  <c r="AB96" i="1" s="1"/>
  <c r="D44" i="3"/>
  <c r="E44" i="3"/>
  <c r="F44" i="3"/>
  <c r="C44" i="3"/>
  <c r="J93" i="1" l="1"/>
  <c r="J94" i="1"/>
  <c r="AA93" i="1" l="1"/>
  <c r="AB93" i="1" s="1"/>
  <c r="Z93" i="1"/>
  <c r="AA94" i="1"/>
  <c r="AB94" i="1" s="1"/>
  <c r="Z94" i="1"/>
  <c r="T90" i="1"/>
  <c r="T91" i="1"/>
  <c r="J91" i="1"/>
  <c r="Z91" i="1" l="1"/>
  <c r="AA91" i="1"/>
  <c r="AB91" i="1" s="1"/>
  <c r="D75" i="3"/>
  <c r="Z111" i="1" l="1"/>
  <c r="AA111" i="1"/>
  <c r="AB111" i="1" l="1"/>
  <c r="T87" i="1" l="1"/>
  <c r="J87" i="1"/>
  <c r="AA87" i="1" s="1"/>
  <c r="AB87" i="1" s="1"/>
  <c r="Z87" i="1" l="1"/>
  <c r="T76" i="1" l="1"/>
  <c r="T77" i="1"/>
  <c r="T78" i="1"/>
  <c r="T79" i="1"/>
  <c r="T80" i="1"/>
  <c r="T81" i="1"/>
  <c r="J76" i="1"/>
  <c r="J77" i="1"/>
  <c r="J78" i="1"/>
  <c r="J79" i="1"/>
  <c r="J80" i="1"/>
  <c r="J81" i="1"/>
  <c r="Z77" i="1" l="1"/>
  <c r="AA77" i="1"/>
  <c r="AB77" i="1" s="1"/>
  <c r="AA80" i="1"/>
  <c r="AB80" i="1" s="1"/>
  <c r="Z80" i="1"/>
  <c r="Z76" i="1"/>
  <c r="AA76" i="1"/>
  <c r="AB76" i="1" s="1"/>
  <c r="AA79" i="1"/>
  <c r="AB79" i="1" s="1"/>
  <c r="Z79" i="1"/>
  <c r="AA81" i="1"/>
  <c r="AB81" i="1" s="1"/>
  <c r="Z81" i="1"/>
  <c r="AA78" i="1"/>
  <c r="AB78" i="1" s="1"/>
  <c r="Z78" i="1"/>
  <c r="L67" i="1"/>
  <c r="M67" i="1"/>
  <c r="N67" i="1"/>
  <c r="J49" i="1" l="1"/>
  <c r="J50" i="1"/>
  <c r="J51" i="1"/>
  <c r="J46" i="1"/>
  <c r="J48" i="1"/>
  <c r="J47" i="1"/>
  <c r="J45" i="1"/>
  <c r="J44" i="1"/>
  <c r="J43" i="1"/>
  <c r="AA48" i="1" l="1"/>
  <c r="Z48" i="1"/>
  <c r="Z50" i="1"/>
  <c r="AA50" i="1"/>
  <c r="Z47" i="1"/>
  <c r="AA47" i="1"/>
  <c r="Z43" i="1"/>
  <c r="AA43" i="1"/>
  <c r="Z46" i="1"/>
  <c r="AA46" i="1"/>
  <c r="AA44" i="1"/>
  <c r="Z44" i="1"/>
  <c r="AA51" i="1"/>
  <c r="Z51" i="1"/>
  <c r="AA45" i="1"/>
  <c r="Z45" i="1"/>
  <c r="AA49" i="1"/>
  <c r="Z49" i="1"/>
  <c r="J68" i="1"/>
  <c r="K67" i="1"/>
  <c r="J69" i="1" l="1"/>
  <c r="J67" i="1" s="1"/>
  <c r="T86" i="1"/>
  <c r="T85" i="1"/>
  <c r="T84" i="1"/>
  <c r="T82" i="1"/>
  <c r="T75" i="1" l="1"/>
  <c r="T83" i="1"/>
  <c r="J82" i="1"/>
  <c r="J83" i="1"/>
  <c r="J84" i="1"/>
  <c r="J85" i="1"/>
  <c r="J86" i="1"/>
  <c r="J75" i="1" l="1"/>
  <c r="Z82" i="1"/>
  <c r="AA82" i="1"/>
  <c r="Z83" i="1"/>
  <c r="AA83" i="1"/>
  <c r="AB83" i="1" s="1"/>
  <c r="Z84" i="1"/>
  <c r="AA84" i="1"/>
  <c r="AB84" i="1" s="1"/>
  <c r="Z85" i="1"/>
  <c r="AA85" i="1"/>
  <c r="AB85" i="1" s="1"/>
  <c r="Z86" i="1"/>
  <c r="AA86" i="1"/>
  <c r="AB86" i="1" s="1"/>
  <c r="F24" i="1"/>
  <c r="G24" i="1"/>
  <c r="H24" i="1"/>
  <c r="N24" i="1"/>
  <c r="O24" i="1"/>
  <c r="S24" i="1" s="1"/>
  <c r="P24" i="1"/>
  <c r="Q24" i="1"/>
  <c r="R24" i="1"/>
  <c r="X24" i="1"/>
  <c r="Y24" i="1"/>
  <c r="AA75" i="1" l="1"/>
  <c r="AB75" i="1" s="1"/>
  <c r="Z75" i="1"/>
  <c r="AB82" i="1"/>
  <c r="M72" i="1"/>
  <c r="M66" i="1" s="1"/>
  <c r="L72" i="1"/>
  <c r="L66" i="1" s="1"/>
  <c r="M24" i="1" l="1"/>
  <c r="L24" i="1" l="1"/>
  <c r="W24" i="1" l="1"/>
  <c r="V24" i="1"/>
  <c r="J58" i="1"/>
  <c r="J57" i="1" s="1"/>
  <c r="K24" i="1"/>
  <c r="AA58" i="1" l="1"/>
  <c r="K72" i="1"/>
  <c r="K66" i="1" s="1"/>
  <c r="N72" i="1"/>
  <c r="N66" i="1" s="1"/>
  <c r="J24" i="1"/>
  <c r="T69" i="1"/>
  <c r="T68" i="1"/>
  <c r="U24" i="1"/>
  <c r="AB58" i="1" l="1"/>
  <c r="AA57" i="1"/>
  <c r="J73" i="1"/>
  <c r="T73" i="1"/>
  <c r="T72" i="1" s="1"/>
  <c r="T24" i="1"/>
  <c r="P72" i="1"/>
  <c r="Q72" i="1"/>
  <c r="R72" i="1"/>
  <c r="U72" i="1"/>
  <c r="V72" i="1"/>
  <c r="W72" i="1"/>
  <c r="X72" i="1"/>
  <c r="P67" i="1"/>
  <c r="Q67" i="1"/>
  <c r="R67" i="1"/>
  <c r="T67" i="1"/>
  <c r="U67" i="1"/>
  <c r="V67" i="1"/>
  <c r="W67" i="1"/>
  <c r="X67" i="1"/>
  <c r="T58" i="1"/>
  <c r="T57" i="1" s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K22" i="1"/>
  <c r="L22" i="1"/>
  <c r="M22" i="1"/>
  <c r="N22" i="1"/>
  <c r="K41" i="1"/>
  <c r="L41" i="1"/>
  <c r="L20" i="1" s="1"/>
  <c r="M41" i="1"/>
  <c r="M20" i="1" s="1"/>
  <c r="N41" i="1"/>
  <c r="N20" i="1" s="1"/>
  <c r="Q66" i="1" l="1"/>
  <c r="P66" i="1"/>
  <c r="W66" i="1"/>
  <c r="W22" i="1" s="1"/>
  <c r="V66" i="1"/>
  <c r="V22" i="1" s="1"/>
  <c r="R66" i="1"/>
  <c r="W41" i="1"/>
  <c r="W20" i="1" s="1"/>
  <c r="X66" i="1"/>
  <c r="X22" i="1" s="1"/>
  <c r="T66" i="1"/>
  <c r="V41" i="1"/>
  <c r="V20" i="1" s="1"/>
  <c r="U66" i="1"/>
  <c r="U22" i="1" s="1"/>
  <c r="U41" i="1"/>
  <c r="U20" i="1" s="1"/>
  <c r="X41" i="1"/>
  <c r="X20" i="1" s="1"/>
  <c r="K25" i="1"/>
  <c r="K17" i="1" s="1"/>
  <c r="K20" i="1"/>
  <c r="L25" i="1"/>
  <c r="L17" i="1" s="1"/>
  <c r="N25" i="1"/>
  <c r="N17" i="1" s="1"/>
  <c r="M25" i="1"/>
  <c r="M17" i="1" s="1"/>
  <c r="W25" i="1" l="1"/>
  <c r="W17" i="1" s="1"/>
  <c r="U25" i="1"/>
  <c r="U17" i="1" s="1"/>
  <c r="V25" i="1"/>
  <c r="V17" i="1" s="1"/>
  <c r="X25" i="1"/>
  <c r="X17" i="1" s="1"/>
  <c r="D67" i="3"/>
  <c r="D66" i="3" s="1"/>
  <c r="E67" i="3"/>
  <c r="E66" i="3" s="1"/>
  <c r="F67" i="3"/>
  <c r="F66" i="3" s="1"/>
  <c r="C67" i="3"/>
  <c r="D72" i="3"/>
  <c r="E72" i="3"/>
  <c r="F72" i="3"/>
  <c r="C72" i="3"/>
  <c r="D26" i="3"/>
  <c r="E75" i="3"/>
  <c r="E26" i="3" s="1"/>
  <c r="F75" i="3"/>
  <c r="F26" i="3" s="1"/>
  <c r="E43" i="3"/>
  <c r="F43" i="3"/>
  <c r="D43" i="3"/>
  <c r="D27" i="3" l="1"/>
  <c r="D19" i="3" s="1"/>
  <c r="F27" i="3"/>
  <c r="F19" i="3" s="1"/>
  <c r="E27" i="3"/>
  <c r="E24" i="3"/>
  <c r="E19" i="3"/>
  <c r="D24" i="3" l="1"/>
  <c r="F24" i="3"/>
  <c r="AA69" i="1" l="1"/>
  <c r="AB69" i="1" s="1"/>
  <c r="Z69" i="1"/>
  <c r="AA68" i="1"/>
  <c r="AB68" i="1" s="1"/>
  <c r="Z68" i="1"/>
  <c r="O67" i="1" l="1"/>
  <c r="S67" i="1" s="1"/>
  <c r="O72" i="1"/>
  <c r="S72" i="1" s="1"/>
  <c r="J72" i="1"/>
  <c r="J66" i="1" s="1"/>
  <c r="O66" i="1" l="1"/>
  <c r="O41" i="1"/>
  <c r="S41" i="1" s="1"/>
  <c r="O22" i="1" l="1"/>
  <c r="S22" i="1" s="1"/>
  <c r="S66" i="1"/>
  <c r="O20" i="1"/>
  <c r="S20" i="1" s="1"/>
  <c r="O25" i="1"/>
  <c r="O17" i="1" l="1"/>
  <c r="S17" i="1" s="1"/>
  <c r="S25" i="1"/>
  <c r="C66" i="3"/>
  <c r="C75" i="3"/>
  <c r="C26" i="3" s="1"/>
  <c r="Z73" i="1"/>
  <c r="AA24" i="1" l="1"/>
  <c r="Z24" i="1"/>
  <c r="C43" i="3" l="1"/>
  <c r="C27" i="3" s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A73" i="1"/>
  <c r="AB73" i="1" s="1"/>
  <c r="Y72" i="1"/>
  <c r="T41" i="1"/>
  <c r="T20" i="1" s="1"/>
  <c r="C24" i="3" l="1"/>
  <c r="C19" i="3"/>
  <c r="J41" i="1"/>
  <c r="J20" i="1" s="1"/>
  <c r="J22" i="1"/>
  <c r="AA20" i="1" l="1"/>
  <c r="J25" i="1"/>
  <c r="J17" i="1" s="1"/>
  <c r="AA17" i="1" l="1"/>
  <c r="AB17" i="1" s="1"/>
  <c r="T22" i="1"/>
  <c r="T25" i="1"/>
  <c r="T17" i="1" s="1"/>
  <c r="Y66" i="1" l="1"/>
  <c r="Y25" i="1" s="1"/>
  <c r="Y22" i="1" s="1"/>
  <c r="Y17" i="1" s="1"/>
  <c r="Y41" i="1" l="1"/>
  <c r="Z55" i="1"/>
  <c r="Z56" i="1"/>
  <c r="Z41" i="1"/>
  <c r="Z60" i="1"/>
  <c r="Z61" i="1"/>
  <c r="Z62" i="1"/>
  <c r="Z63" i="1"/>
  <c r="Z64" i="1"/>
  <c r="Z65" i="1"/>
  <c r="Z70" i="1"/>
  <c r="Z71" i="1"/>
  <c r="Z72" i="1"/>
  <c r="Z74" i="1"/>
  <c r="AB24" i="1"/>
  <c r="Z67" i="1"/>
  <c r="AA18" i="1"/>
  <c r="AB18" i="1" s="1"/>
  <c r="AA19" i="1"/>
  <c r="AB19" i="1" s="1"/>
  <c r="AB20" i="1"/>
  <c r="AA21" i="1"/>
  <c r="AB21" i="1" s="1"/>
  <c r="AA23" i="1"/>
  <c r="AB23" i="1" s="1"/>
  <c r="AA26" i="1"/>
  <c r="AB26" i="1" s="1"/>
  <c r="AA27" i="1"/>
  <c r="AB27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A34" i="1"/>
  <c r="AB34" i="1" s="1"/>
  <c r="AA35" i="1"/>
  <c r="AB35" i="1" s="1"/>
  <c r="AA36" i="1"/>
  <c r="AB36" i="1" s="1"/>
  <c r="AA37" i="1"/>
  <c r="AB37" i="1" s="1"/>
  <c r="AA38" i="1"/>
  <c r="AB38" i="1" s="1"/>
  <c r="AA39" i="1"/>
  <c r="AB39" i="1" s="1"/>
  <c r="AA40" i="1"/>
  <c r="AB40" i="1" s="1"/>
  <c r="AA41" i="1"/>
  <c r="AB41" i="1" s="1"/>
  <c r="AA55" i="1"/>
  <c r="AB55" i="1" s="1"/>
  <c r="AA56" i="1"/>
  <c r="AB56" i="1" s="1"/>
  <c r="AB57" i="1"/>
  <c r="AA60" i="1"/>
  <c r="AB60" i="1" s="1"/>
  <c r="AA61" i="1"/>
  <c r="AB61" i="1" s="1"/>
  <c r="AA62" i="1"/>
  <c r="AB62" i="1" s="1"/>
  <c r="AA63" i="1"/>
  <c r="AB63" i="1" s="1"/>
  <c r="AA64" i="1"/>
  <c r="AB64" i="1" s="1"/>
  <c r="AA65" i="1"/>
  <c r="AB65" i="1" s="1"/>
  <c r="AA70" i="1"/>
  <c r="AB70" i="1" s="1"/>
  <c r="AA71" i="1"/>
  <c r="AB71" i="1" s="1"/>
  <c r="AA72" i="1"/>
  <c r="AB72" i="1" s="1"/>
  <c r="AA74" i="1"/>
  <c r="AB74" i="1" s="1"/>
  <c r="Z20" i="1" l="1"/>
  <c r="AA67" i="1"/>
  <c r="AB67" i="1" s="1"/>
  <c r="AA66" i="1" l="1"/>
  <c r="AB66" i="1" s="1"/>
  <c r="Z66" i="1"/>
  <c r="Z22" i="1" l="1"/>
  <c r="Z25" i="1"/>
  <c r="Z17" i="1" s="1"/>
  <c r="AA25" i="1"/>
  <c r="AB25" i="1" s="1"/>
  <c r="AA22" i="1" l="1"/>
  <c r="AB22" i="1" s="1"/>
</calcChain>
</file>

<file path=xl/sharedStrings.xml><?xml version="1.0" encoding="utf-8"?>
<sst xmlns="http://schemas.openxmlformats.org/spreadsheetml/2006/main" count="506" uniqueCount="280">
  <si>
    <t>к приказу Минэнерго России</t>
  </si>
  <si>
    <t>от «24» марта 2010 г. № 114</t>
  </si>
  <si>
    <t>Утверждаю</t>
  </si>
  <si>
    <t>«___»________ 20__ года</t>
  </si>
  <si>
    <t>М.П.</t>
  </si>
  <si>
    <t>№№</t>
  </si>
  <si>
    <t>Наименование объекта</t>
  </si>
  <si>
    <t>Остаток стоимости на начало года</t>
  </si>
  <si>
    <t>Введено оформлено актами ввода в эксплуатацию)
млн.рублей</t>
  </si>
  <si>
    <t xml:space="preserve">Осталось профинансировать по результатам отчетного периода </t>
  </si>
  <si>
    <t>Отклонение ***</t>
  </si>
  <si>
    <t>Причины отклонений</t>
  </si>
  <si>
    <t>Всего</t>
  </si>
  <si>
    <t>млн.рублей</t>
  </si>
  <si>
    <t>%</t>
  </si>
  <si>
    <t>в том числе за счет</t>
  </si>
  <si>
    <t>факт***</t>
  </si>
  <si>
    <t xml:space="preserve">    всего</t>
  </si>
  <si>
    <t>уточнения стоимости по результатам утвержденной ПСД</t>
  </si>
  <si>
    <t>уточнения стоимости по результатам закупочных процедур</t>
  </si>
  <si>
    <t>1.1</t>
  </si>
  <si>
    <t>план*</t>
  </si>
  <si>
    <t>№ п/п</t>
  </si>
  <si>
    <t>Наименование проекта</t>
  </si>
  <si>
    <t>Ввод мощностей</t>
  </si>
  <si>
    <t>Вывод мощностей</t>
  </si>
  <si>
    <t>факт</t>
  </si>
  <si>
    <t>МВт</t>
  </si>
  <si>
    <t>0</t>
  </si>
  <si>
    <t>Генеральный директор ООО "ЯГК"</t>
  </si>
  <si>
    <t>Генеральный директор ООО "Якутская генерирующая компания"</t>
  </si>
  <si>
    <t>Новое строительство объектов по производству электрической энергии, всего, в том числе:</t>
  </si>
  <si>
    <t>Модернизация, техническое перевооружение объектов по производству электрической энергии всего, в том числе:</t>
  </si>
  <si>
    <t>1</t>
  </si>
  <si>
    <t>ВСЕГО по инвестиционной программе ООО "ЯГК", в том числе:</t>
  </si>
  <si>
    <t>Технологическое присоединение (подключение), всего</t>
  </si>
  <si>
    <t>Реконструкция, всего</t>
  </si>
  <si>
    <t>Модернизация, техническое перевооружение, всего</t>
  </si>
  <si>
    <t>Инвестиционные проекты, реализация которых обусловливается схемами теплоснабжения, всего</t>
  </si>
  <si>
    <t>Новое строительство, всего</t>
  </si>
  <si>
    <t>Покупка земельных участков для целей реализации инвестиционных проектов, всего</t>
  </si>
  <si>
    <t>Прочие инвестиционные проекты, всего</t>
  </si>
  <si>
    <t>Республика Саха (Якутия), в том числе:</t>
  </si>
  <si>
    <t>Технологическое присоединение (подключение), всего, в том числе:</t>
  </si>
  <si>
    <t>Технологическое присоединение энергопринимающих устройств потребителей, объектов электросетевого хозяйства к распределительным устройствам объектов по производству электрической энергии, всего, в том числе:</t>
  </si>
  <si>
    <t>Технологическое присоединение объектов по производству электрической энергии к электрическим сетям, всего, в том числе:</t>
  </si>
  <si>
    <t>Подключение теплопотребляющих установок потребителей тепловой энергии к системе теплоснабжения, всего, в том числе:</t>
  </si>
  <si>
    <t>Подключение теплопотребляющих установок потребителей тепловой энергии, подключаемая тепловая нагрузка которых не превышает 0,1 Гкал/ч, к системе теплоснабжения всего, в том числе:</t>
  </si>
  <si>
    <t>Подключение теплопотребляющих установок потребителей тепловой энергии, подключаемая тепловая нагрузка которых более 0,1 Гкал/ч и не превышает 1,5 Гкал/ч, к системе теплоснабжения, всего, в том числе:</t>
  </si>
  <si>
    <t>Подключение теплопотребляющих установок потребителей тепловой энергии, подключаемая тепловая нагрузка которых  более 1,5 Гкал/ч, к системе теплоснабжения, всего, в том числе:</t>
  </si>
  <si>
    <t>Строительство, реконструкция, модернизация и (или) техническое перевооружение источников тепловой энергии в целях подключения теплопотребляющих установок потребителей тепловой энергии к системе теплоснабжения, всего, в том числе:</t>
  </si>
  <si>
    <t>Строительство, реконструкция, модернизация и (или) техническое перевооружение тепловых сетей в целях подключения теплопотребляющих установок потребителей тепловой энергии к системе теплоснабжения, всего, в том числе:</t>
  </si>
  <si>
    <t>Подключение объектов теплоснабжения к системам теплоснабжения, всего, в том числе:</t>
  </si>
  <si>
    <t>Реконструкция объектов по производству электрической энергии, объектов теплоснабжения и прочих объектов основных средств, всего, в том числе:</t>
  </si>
  <si>
    <t>Реконструкция объектов по производству электрической энергии всего, в том числе:</t>
  </si>
  <si>
    <t>Реконструкция котельных всего, в том числе:</t>
  </si>
  <si>
    <t>Реконструкция тепловых сетей всего, в том числе:</t>
  </si>
  <si>
    <t>Реконструкция прочих объектов основных средств всего, в том числе:</t>
  </si>
  <si>
    <t>Модернизация, техническое перевооружение, всего, в том числе:</t>
  </si>
  <si>
    <t>Модернизация, техническое перевооружение котельных всего, в том числе:</t>
  </si>
  <si>
    <t>Модернизация, техническое перевооружение тепловых сетей всего, в том числе:</t>
  </si>
  <si>
    <t>Модернизация, техническое перевооружение прочих объектов основных средств всего, в том числе:</t>
  </si>
  <si>
    <t>Инвестиционные проекты, реализация которых обусловливается схемами теплоснабжения, всего, в том числе:</t>
  </si>
  <si>
    <t>Строительство, реконструкция, модернизация и техническое перевооружение источников тепловой энергии, всего, в том числе:</t>
  </si>
  <si>
    <t>Строительство, реконструкция, модернизация и техническое перевооружение тепловых сетей, всего, в том числе:</t>
  </si>
  <si>
    <t>Наименование поселения (городского округа)</t>
  </si>
  <si>
    <t>Новое строительство, всего, в том числе:</t>
  </si>
  <si>
    <t>Новое строительство котельных, всего, в том числе:</t>
  </si>
  <si>
    <t>Новое строительство тепловых сетей, всего, в том числе:</t>
  </si>
  <si>
    <t>Прочее новое строительство, всего, в том числе:</t>
  </si>
  <si>
    <t>Покупка земельных участков для целей реализации инвестиционных проектов, всего, в том числе:</t>
  </si>
  <si>
    <t>Прочие инвестиционные проекты всего, в том числе:</t>
  </si>
  <si>
    <t>0.1</t>
  </si>
  <si>
    <t>0.2</t>
  </si>
  <si>
    <t>0.3</t>
  </si>
  <si>
    <t>0.4</t>
  </si>
  <si>
    <t>0.5</t>
  </si>
  <si>
    <t>0.6</t>
  </si>
  <si>
    <t>0.7</t>
  </si>
  <si>
    <t>1.1.1</t>
  </si>
  <si>
    <t>1.1.2</t>
  </si>
  <si>
    <t>1.1.3</t>
  </si>
  <si>
    <t>1.1.3.1</t>
  </si>
  <si>
    <t>1.1.3.2</t>
  </si>
  <si>
    <t>1.1.3.3</t>
  </si>
  <si>
    <t>1.1.3.4</t>
  </si>
  <si>
    <t>1.1.3.5</t>
  </si>
  <si>
    <t>1.1.4</t>
  </si>
  <si>
    <t>1.2</t>
  </si>
  <si>
    <t>1.2.1</t>
  </si>
  <si>
    <t>1.2.2</t>
  </si>
  <si>
    <t>1.2.3</t>
  </si>
  <si>
    <t>1.2.4</t>
  </si>
  <si>
    <t>1.3</t>
  </si>
  <si>
    <t>1.3.1</t>
  </si>
  <si>
    <t>1.3.2</t>
  </si>
  <si>
    <t>1.3.3</t>
  </si>
  <si>
    <t>1.3.4</t>
  </si>
  <si>
    <t>1.4</t>
  </si>
  <si>
    <t>1.4.1.1</t>
  </si>
  <si>
    <t>1.4.1.2</t>
  </si>
  <si>
    <t>1.4.2</t>
  </si>
  <si>
    <t>1.4.2.1</t>
  </si>
  <si>
    <t>1.4.2.2</t>
  </si>
  <si>
    <t>1.5</t>
  </si>
  <si>
    <t>1.5.1</t>
  </si>
  <si>
    <t>1.5.1.1.</t>
  </si>
  <si>
    <t>1.5.2</t>
  </si>
  <si>
    <t>1.5.3</t>
  </si>
  <si>
    <t>1.5.4</t>
  </si>
  <si>
    <t>1.6</t>
  </si>
  <si>
    <t>1.7</t>
  </si>
  <si>
    <t>1.5.1.2.</t>
  </si>
  <si>
    <t>Приложение  № 7.1</t>
  </si>
  <si>
    <t>1.3.4.1.</t>
  </si>
  <si>
    <t>Приложение  № 7.3</t>
  </si>
  <si>
    <t>1.5.4.1.</t>
  </si>
  <si>
    <t>Газопровод-отвод к производственной площадке Накынского рудного поля</t>
  </si>
  <si>
    <t>Замена  дизель генератора АД-60, cummins, вахтовый поселок "Моргогор" - 2 шт</t>
  </si>
  <si>
    <t>Замена  дизель генератора 200 кВт GCU 400 EWC на дизель-генератор 2х500, ЭД60-Т400РК на ДЭС 60 кВт участок "Эбелях 5" - 1 шт</t>
  </si>
  <si>
    <t>утв. план**</t>
  </si>
  <si>
    <t>Автоматизация ДЭС сортировочных комплексов</t>
  </si>
  <si>
    <t>Приобретение вагонов для проживания</t>
  </si>
  <si>
    <t>1 квартал</t>
  </si>
  <si>
    <t>2 квартал</t>
  </si>
  <si>
    <t>3 квартал</t>
  </si>
  <si>
    <t>4 квартал</t>
  </si>
  <si>
    <t>Идентификатор инвестиционного проекта</t>
  </si>
  <si>
    <t>М_08.2022.10</t>
  </si>
  <si>
    <t>Замена  дизель генератора cummins ЭД-100-Т400,  база Эбелях-дорожник - 1 шт</t>
  </si>
  <si>
    <t>N_08.2023.1.</t>
  </si>
  <si>
    <t>М_08.2022.6</t>
  </si>
  <si>
    <t>L_08.2021.4.</t>
  </si>
  <si>
    <t xml:space="preserve">Приобретение дизель-генератора ЭД500-Т400-2РН в прииск "Кристалл" в Усть-Янском районе РС (Я) </t>
  </si>
  <si>
    <t>М_08.2022.5</t>
  </si>
  <si>
    <t>М_08.2022.17</t>
  </si>
  <si>
    <t>N_08.2023.2.</t>
  </si>
  <si>
    <t>N_08.2023.3.</t>
  </si>
  <si>
    <t>L_08.2021.3.</t>
  </si>
  <si>
    <t>Г</t>
  </si>
  <si>
    <t>Приобретение инструментов</t>
  </si>
  <si>
    <t>Контейнеры для хранения ТМЦ на ПП №1 Маят, Молодо</t>
  </si>
  <si>
    <t>М_08.2022.14</t>
  </si>
  <si>
    <t>T_04.2023.2.</t>
  </si>
  <si>
    <t>М_08.2022.15</t>
  </si>
  <si>
    <t>М_08.2022.21</t>
  </si>
  <si>
    <t>T_04.2023.3.</t>
  </si>
  <si>
    <t xml:space="preserve">Приобретение Митцубиси L200 Пикап </t>
  </si>
  <si>
    <t>T_04.2023.1.</t>
  </si>
  <si>
    <t>Замена  дизель генератора  АД-100, АД-30 С-Т 400-1P на дизель генераторы 30, 100 кВт,  база Приленск - 3 шт</t>
  </si>
  <si>
    <t>L_08.2021.12.</t>
  </si>
  <si>
    <t>Замена  дизель генератора 200 кВт GCU 400 УЦС - 3 шт на дизель генератор 2х500 кВт - 2 шт,  база Балаганнаах</t>
  </si>
  <si>
    <t>L_08.2021.9.</t>
  </si>
  <si>
    <t>Замена дизель генераторов 250 кВт ДЭС GCU 400 EWS на дизель-генератор 2х500 , участок "Эбелях -6 "</t>
  </si>
  <si>
    <t>М_08.2022.9</t>
  </si>
  <si>
    <t>Замена котлов-утилизаторов в Нюрбинском ГОК, 5500 кВт, 5 ед.</t>
  </si>
  <si>
    <t>Замена дизель генераторов в Анабарском, Оленекском и Булунском районе мощностью 30, 100,  300, 450 кВт, - 19 единиц</t>
  </si>
  <si>
    <t>N_08.2023.4.</t>
  </si>
  <si>
    <t>Замена дизель генераторов в Мирнинском районе мощностью по 100 кВт, - 6 единиц</t>
  </si>
  <si>
    <t>N_08.2023.5.</t>
  </si>
  <si>
    <t>1.3.1.1</t>
  </si>
  <si>
    <t>1.3.1.2</t>
  </si>
  <si>
    <t>1.3.1.3</t>
  </si>
  <si>
    <t>1.3.1.4</t>
  </si>
  <si>
    <t>1.3.1.5</t>
  </si>
  <si>
    <t>1.3.1.6</t>
  </si>
  <si>
    <t>1.3.1.7</t>
  </si>
  <si>
    <t>1.3.1.8</t>
  </si>
  <si>
    <t>1.3.1.9</t>
  </si>
  <si>
    <t>1.3.1.10</t>
  </si>
  <si>
    <t>Приобретение распределительного устройства 0,4 кВ контейнерного типа, участок Эбелях</t>
  </si>
  <si>
    <t>М_08.2022.8</t>
  </si>
  <si>
    <t>Приобретение распределительного устройства 0,4 кВ контейнерного типа, участок Эбелях 6</t>
  </si>
  <si>
    <t>М_08.2022.11</t>
  </si>
  <si>
    <t>Приобретение дизель-генератора на происводственные участки в Анабарском районе РС (Я)</t>
  </si>
  <si>
    <t>М_08.2022.16</t>
  </si>
  <si>
    <t>Приобретение ДГУ для нужд производственного позразделения №6 в Мирнинском районе РС (Я) 10 кВт, 4 ед.</t>
  </si>
  <si>
    <t xml:space="preserve">Приобретение автомобильных средств для производственных нужд </t>
  </si>
  <si>
    <t>М_08.2022.20</t>
  </si>
  <si>
    <t>Приобретение телескопического погрузчика</t>
  </si>
  <si>
    <t xml:space="preserve">Приобретение компьютеров, оргтехники и средств связи </t>
  </si>
  <si>
    <t>М_08.2022.22</t>
  </si>
  <si>
    <t>Замена  дизель генератора 200 кВт GCU 400 EWC на дизель-генератор 2х500, ЭД60-Т400РК на ДЭС 60 кВт участок "Эбелях 5" - 3 шт</t>
  </si>
  <si>
    <t>1.7.1</t>
  </si>
  <si>
    <t>1.7.2</t>
  </si>
  <si>
    <t>1.7.3</t>
  </si>
  <si>
    <t>1.7.4</t>
  </si>
  <si>
    <t>1.7.5</t>
  </si>
  <si>
    <t>1.7.6</t>
  </si>
  <si>
    <t>1.7.8</t>
  </si>
  <si>
    <t>1.7.10</t>
  </si>
  <si>
    <t>1.7.15</t>
  </si>
  <si>
    <t>Приобретение ручного инструмента</t>
  </si>
  <si>
    <t>O_08.2024.5</t>
  </si>
  <si>
    <t>Приобретение сушильных шкафов DION UNI NEX, 10 ед.</t>
  </si>
  <si>
    <t>O_08.2024.8</t>
  </si>
  <si>
    <t>Приобретение модуля пневмокаркасного ПКМ–Н83 или эквивалент, 2 ед.</t>
  </si>
  <si>
    <t>O_08.2024.9</t>
  </si>
  <si>
    <t>Приобретение средств малой механизации</t>
  </si>
  <si>
    <t>O_08.2024.6</t>
  </si>
  <si>
    <t>Переходящее мероприятие с 2023 года</t>
  </si>
  <si>
    <t>Замена дизель-генераторов с комплектами адаптации, - 24 единицы</t>
  </si>
  <si>
    <t>O_08.2024.1</t>
  </si>
  <si>
    <t>1.3.1.11</t>
  </si>
  <si>
    <t>Модернизация АНДЭС Верхняя Муна путем перевода на водородное топливо</t>
  </si>
  <si>
    <t>O_08.2024.2</t>
  </si>
  <si>
    <t>Строительство "Оленская ГПЭС" в г. Вилюйск Вилюйского района Республики Саха (Якутия), мощность до 32 МВт  (ГПЭС Вилюйск)</t>
  </si>
  <si>
    <t>Строительство ГПЭС в п. Накын МНГОК Нюрбинского района Республики Саха (Якутия) 12 МВт</t>
  </si>
  <si>
    <t>1.7.7</t>
  </si>
  <si>
    <t>1.7.9</t>
  </si>
  <si>
    <t>1.7.11</t>
  </si>
  <si>
    <t>1.7.12</t>
  </si>
  <si>
    <t>1.7.13</t>
  </si>
  <si>
    <t>Замена Митцубиси L200 Пикап на автомобиль пикап, 2 ед.</t>
  </si>
  <si>
    <t>O_08.2024.3</t>
  </si>
  <si>
    <t>1.7.14</t>
  </si>
  <si>
    <t>Приобретение автомобиля (пикап)</t>
  </si>
  <si>
    <t>O_08.2024.4</t>
  </si>
  <si>
    <t>1.7.16</t>
  </si>
  <si>
    <t>1.7.17</t>
  </si>
  <si>
    <t>1.7.18</t>
  </si>
  <si>
    <t>Счетчик жидикости "VZOA 20 RC 130/16, 50 ед.</t>
  </si>
  <si>
    <t>O_08.2024.7</t>
  </si>
  <si>
    <t>1.7.19</t>
  </si>
  <si>
    <t>1.7.20</t>
  </si>
  <si>
    <t>Приобретение надувного ПВХ ангара и кран-балки, 1 ед.</t>
  </si>
  <si>
    <t>O_08.2024.10</t>
  </si>
  <si>
    <t>1.7.21</t>
  </si>
  <si>
    <t>Вакуумный Реклоузер OSM 15(10КВ) на ПП№7 "Кристалл", 1 ед.</t>
  </si>
  <si>
    <t>O_08.2024.11</t>
  </si>
  <si>
    <t>1.7.22</t>
  </si>
  <si>
    <t>Блок механической мастерской на базе морского 
контейнера 20 фут, 1 ед.</t>
  </si>
  <si>
    <t>O_08.2024.12</t>
  </si>
  <si>
    <t>1.7.23</t>
  </si>
  <si>
    <t>Резистивный нагрузочный модуль НМ-500-Т400-К2 в кожухе, 1 ед.</t>
  </si>
  <si>
    <t>O_08.2024.13</t>
  </si>
  <si>
    <t>1.7.24</t>
  </si>
  <si>
    <t>Вагон-дома для проживания персонала ПП №1, 7 ед.</t>
  </si>
  <si>
    <t>O_08.2024.14</t>
  </si>
  <si>
    <t>1.7.25</t>
  </si>
  <si>
    <t>Вагон-дом для реализации проекта "Газопровод-отвод к производственной площадке Накынского рудного поля", 1 ед.</t>
  </si>
  <si>
    <t>O_08.2024.15</t>
  </si>
  <si>
    <t>1.7.26</t>
  </si>
  <si>
    <t>Контейнер 20 футов (Якутск), 1 ед.</t>
  </si>
  <si>
    <t>O_08.2024.16</t>
  </si>
  <si>
    <t>1.7.27</t>
  </si>
  <si>
    <t>Приобретение ДГУ 500кВт для участка Кристалл, Усть-Янский район РС (Я), 1 ед.</t>
  </si>
  <si>
    <t>O_08.2024.17</t>
  </si>
  <si>
    <t>________________________Жолнерчик С.С.</t>
  </si>
  <si>
    <t>_______________________Жолнерчик С.С.</t>
  </si>
  <si>
    <t>Отчет об исполнении инвестиционной программы ООО  "Якутская генерирующая компания" за 1 квартал 2025 года.</t>
  </si>
  <si>
    <t>Объем освоения 2025 год</t>
  </si>
  <si>
    <t>Объем финансирования 2025 год</t>
  </si>
  <si>
    <t>Отчет о вводах/выводах объектов ООО "ЯГК" за 2025 год.</t>
  </si>
  <si>
    <t>2025 год</t>
  </si>
  <si>
    <t>Выполнение комплекса работ по реализации параметрической диагностики ДВС на действующей системе ДУ вахтового поселка «Верхнее Молодо» и системе мониторинга ООО «ЯГК»</t>
  </si>
  <si>
    <t>P_08.2025.5</t>
  </si>
  <si>
    <t>1.3.4.2.</t>
  </si>
  <si>
    <t>1.7.28</t>
  </si>
  <si>
    <t>Слесарная мастерская на базе 20 фут.контейнера (Талахтах), 1 ед.</t>
  </si>
  <si>
    <t>P_08.2025.17</t>
  </si>
  <si>
    <t>1.7.29</t>
  </si>
  <si>
    <t>1.7.30</t>
  </si>
  <si>
    <t>Кондиционеры, 2 ед.</t>
  </si>
  <si>
    <t>P_08.2025.15</t>
  </si>
  <si>
    <t>Приобретение сервисного оборудования</t>
  </si>
  <si>
    <t>P_08.2025.8</t>
  </si>
  <si>
    <t>1.7.31</t>
  </si>
  <si>
    <t>Приобретение автомобиля (внедорожник/пикап), 2 ед.</t>
  </si>
  <si>
    <t>P_08.2025.7</t>
  </si>
  <si>
    <t>1.7.32</t>
  </si>
  <si>
    <t>1.7.33</t>
  </si>
  <si>
    <t>1.7.34</t>
  </si>
  <si>
    <t>1.7.35</t>
  </si>
  <si>
    <t>1.7.36</t>
  </si>
  <si>
    <t>Морской контейнер 20 футов, 9 ед.</t>
  </si>
  <si>
    <t>P_08.2025.16</t>
  </si>
  <si>
    <t>Замена газопоршневых генераторных установок (ГПГУ) на ГПЭС Моркока</t>
  </si>
  <si>
    <t>P_08.2025.6</t>
  </si>
  <si>
    <t>1.3.1.12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</si>
</sst>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"/>
    <numFmt numFmtId="167" formatCode="0.0%"/>
    <numFmt numFmtId="168" formatCode="_-* #,##0.0000\ _₽_-;\-* #,##0.0000\ _₽_-;_-* &quot;-&quot;????\ _₽_-;_-@_-"/>
  </numFmts>
  <fonts count="14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9" fontId="12" fillId="0" borderId="0" applyFont="0" applyFill="0" applyBorder="0" applyAlignment="0" applyProtection="0"/>
    <xf numFmtId="0" fontId="2" fillId="0" borderId="0"/>
    <xf numFmtId="43" fontId="13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 applyFill="1"/>
    <xf numFmtId="165" fontId="3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/>
    </xf>
    <xf numFmtId="0" fontId="2" fillId="0" borderId="0" xfId="3" applyFont="1"/>
    <xf numFmtId="0" fontId="2" fillId="0" borderId="0" xfId="3" applyFont="1" applyAlignment="1">
      <alignment horizontal="right"/>
    </xf>
    <xf numFmtId="0" fontId="2" fillId="0" borderId="0" xfId="3" applyFont="1" applyFill="1" applyAlignment="1">
      <alignment horizontal="right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 indent="1"/>
    </xf>
    <xf numFmtId="0" fontId="3" fillId="0" borderId="1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wrapText="1"/>
    </xf>
    <xf numFmtId="0" fontId="3" fillId="0" borderId="3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wrapText="1"/>
    </xf>
    <xf numFmtId="49" fontId="3" fillId="0" borderId="1" xfId="4" applyNumberFormat="1" applyFont="1" applyBorder="1" applyAlignment="1">
      <alignment horizontal="center" vertical="center"/>
    </xf>
    <xf numFmtId="49" fontId="2" fillId="0" borderId="1" xfId="4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4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4" applyNumberFormat="1" applyFont="1" applyBorder="1" applyAlignment="1">
      <alignment horizontal="center" vertical="center"/>
    </xf>
    <xf numFmtId="49" fontId="3" fillId="0" borderId="3" xfId="4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165" fontId="3" fillId="2" borderId="1" xfId="0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/>
    <xf numFmtId="49" fontId="2" fillId="0" borderId="1" xfId="4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49" fontId="2" fillId="2" borderId="1" xfId="4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164" fontId="2" fillId="2" borderId="0" xfId="0" applyNumberFormat="1" applyFont="1" applyFill="1"/>
    <xf numFmtId="0" fontId="6" fillId="2" borderId="0" xfId="0" applyFont="1" applyFill="1"/>
    <xf numFmtId="165" fontId="2" fillId="2" borderId="1" xfId="0" applyNumberFormat="1" applyFont="1" applyFill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7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/>
    </xf>
    <xf numFmtId="166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left" vertical="top" wrapText="1"/>
    </xf>
    <xf numFmtId="0" fontId="3" fillId="2" borderId="0" xfId="0" applyFont="1" applyFill="1"/>
    <xf numFmtId="0" fontId="5" fillId="2" borderId="0" xfId="0" applyFont="1" applyFill="1"/>
    <xf numFmtId="166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49" fontId="3" fillId="2" borderId="1" xfId="4" applyNumberFormat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 wrapText="1"/>
    </xf>
    <xf numFmtId="2" fontId="3" fillId="2" borderId="2" xfId="6" applyNumberFormat="1" applyFont="1" applyFill="1" applyBorder="1" applyAlignment="1">
      <alignment horizontal="center" vertical="center" wrapText="1"/>
    </xf>
    <xf numFmtId="9" fontId="3" fillId="2" borderId="2" xfId="6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 indent="1"/>
    </xf>
    <xf numFmtId="0" fontId="3" fillId="2" borderId="1" xfId="4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2" fillId="2" borderId="0" xfId="0" applyFont="1" applyFill="1" applyAlignment="1">
      <alignment vertical="center"/>
    </xf>
    <xf numFmtId="1" fontId="2" fillId="2" borderId="1" xfId="0" applyNumberFormat="1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justify" vertical="center" wrapText="1"/>
    </xf>
    <xf numFmtId="49" fontId="3" fillId="2" borderId="1" xfId="4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vertical="center" wrapText="1"/>
    </xf>
    <xf numFmtId="49" fontId="3" fillId="2" borderId="2" xfId="4" applyNumberFormat="1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168" fontId="2" fillId="2" borderId="0" xfId="0" applyNumberFormat="1" applyFont="1" applyFill="1"/>
    <xf numFmtId="49" fontId="3" fillId="2" borderId="3" xfId="4" applyNumberFormat="1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165" fontId="7" fillId="2" borderId="1" xfId="0" applyNumberFormat="1" applyFont="1" applyFill="1" applyBorder="1" applyAlignment="1">
      <alignment horizontal="right" vertical="center" wrapText="1"/>
    </xf>
    <xf numFmtId="43" fontId="2" fillId="2" borderId="1" xfId="8" applyFont="1" applyFill="1" applyBorder="1" applyAlignment="1">
      <alignment horizontal="center" vertical="center"/>
    </xf>
    <xf numFmtId="43" fontId="2" fillId="2" borderId="1" xfId="8" applyFont="1" applyFill="1" applyBorder="1" applyAlignment="1">
      <alignment horizontal="right" vertical="center"/>
    </xf>
    <xf numFmtId="43" fontId="2" fillId="2" borderId="1" xfId="8" applyFont="1" applyFill="1" applyBorder="1" applyAlignment="1">
      <alignment vertical="center"/>
    </xf>
    <xf numFmtId="43" fontId="11" fillId="2" borderId="1" xfId="8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165" fontId="2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43" fontId="2" fillId="2" borderId="1" xfId="8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49" fontId="11" fillId="2" borderId="1" xfId="4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center" vertical="center"/>
    </xf>
  </cellXfs>
  <cellStyles count="9">
    <cellStyle name="Обычный" xfId="0" builtinId="0"/>
    <cellStyle name="Обычный 11" xfId="7"/>
    <cellStyle name="Обычный 2" xfId="5"/>
    <cellStyle name="Обычный 3" xfId="1"/>
    <cellStyle name="Обычный 3 2" xfId="3"/>
    <cellStyle name="Обычный 7" xfId="4"/>
    <cellStyle name="Процентный" xfId="6" builtinId="5"/>
    <cellStyle name="Финансовый" xfId="8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B111"/>
  <sheetViews>
    <sheetView tabSelected="1" topLeftCell="A13" zoomScale="90" zoomScaleNormal="90" workbookViewId="0">
      <pane xSplit="3" ySplit="7" topLeftCell="D44" activePane="bottomRight" state="frozen"/>
      <selection activeCell="A13" sqref="A13"/>
      <selection pane="topRight" activeCell="D13" sqref="D13"/>
      <selection pane="bottomLeft" activeCell="A20" sqref="A20"/>
      <selection pane="bottomRight" activeCell="M55" sqref="M55"/>
    </sheetView>
  </sheetViews>
  <sheetFormatPr defaultRowHeight="17.25" customHeight="1" x14ac:dyDescent="0.25"/>
  <cols>
    <col min="1" max="1" width="13.5" style="42" customWidth="1"/>
    <col min="2" max="2" width="65.875" style="42" customWidth="1" collapsed="1"/>
    <col min="3" max="3" width="15.125" style="39" customWidth="1"/>
    <col min="4" max="4" width="17.375" style="42" customWidth="1"/>
    <col min="5" max="5" width="19.875" style="55" customWidth="1"/>
    <col min="6" max="9" width="19.875" style="42" hidden="1" customWidth="1"/>
    <col min="10" max="10" width="19.875" style="42" customWidth="1"/>
    <col min="11" max="11" width="19.875" style="114" customWidth="1"/>
    <col min="12" max="13" width="19.875" style="42" customWidth="1"/>
    <col min="14" max="14" width="21" style="42" customWidth="1"/>
    <col min="15" max="15" width="19.875" style="42" customWidth="1"/>
    <col min="16" max="19" width="19.875" style="42" hidden="1" customWidth="1"/>
    <col min="20" max="24" width="19.875" style="42" customWidth="1"/>
    <col min="25" max="25" width="19.875" style="55" customWidth="1"/>
    <col min="26" max="30" width="15.625" style="42" customWidth="1"/>
    <col min="31" max="31" width="45.875" style="85" customWidth="1"/>
    <col min="32" max="32" width="36.875" style="42" customWidth="1"/>
    <col min="33" max="33" width="21.625" style="42" customWidth="1"/>
    <col min="34" max="271" width="9" style="42"/>
    <col min="272" max="272" width="13.5" style="42" customWidth="1"/>
    <col min="273" max="273" width="67.375" style="42" customWidth="1"/>
    <col min="274" max="274" width="17.375" style="42" customWidth="1"/>
    <col min="275" max="276" width="16.25" style="42" customWidth="1"/>
    <col min="277" max="278" width="15.875" style="42" customWidth="1"/>
    <col min="279" max="283" width="15.625" style="42" customWidth="1"/>
    <col min="284" max="284" width="81.375" style="42" customWidth="1"/>
    <col min="285" max="285" width="11.375" style="42" customWidth="1"/>
    <col min="286" max="286" width="10.5" style="42" customWidth="1"/>
    <col min="287" max="527" width="9" style="42"/>
    <col min="528" max="528" width="13.5" style="42" customWidth="1"/>
    <col min="529" max="529" width="67.375" style="42" customWidth="1"/>
    <col min="530" max="530" width="17.375" style="42" customWidth="1"/>
    <col min="531" max="532" width="16.25" style="42" customWidth="1"/>
    <col min="533" max="534" width="15.875" style="42" customWidth="1"/>
    <col min="535" max="539" width="15.625" style="42" customWidth="1"/>
    <col min="540" max="540" width="81.375" style="42" customWidth="1"/>
    <col min="541" max="541" width="11.375" style="42" customWidth="1"/>
    <col min="542" max="542" width="10.5" style="42" customWidth="1"/>
    <col min="543" max="783" width="9" style="42"/>
    <col min="784" max="784" width="13.5" style="42" customWidth="1"/>
    <col min="785" max="785" width="67.375" style="42" customWidth="1"/>
    <col min="786" max="786" width="17.375" style="42" customWidth="1"/>
    <col min="787" max="788" width="16.25" style="42" customWidth="1"/>
    <col min="789" max="790" width="15.875" style="42" customWidth="1"/>
    <col min="791" max="795" width="15.625" style="42" customWidth="1"/>
    <col min="796" max="796" width="81.375" style="42" customWidth="1"/>
    <col min="797" max="797" width="11.375" style="42" customWidth="1"/>
    <col min="798" max="798" width="10.5" style="42" customWidth="1"/>
    <col min="799" max="1039" width="9" style="42"/>
    <col min="1040" max="1040" width="13.5" style="42" customWidth="1"/>
    <col min="1041" max="1041" width="67.375" style="42" customWidth="1"/>
    <col min="1042" max="1042" width="17.375" style="42" customWidth="1"/>
    <col min="1043" max="1044" width="16.25" style="42" customWidth="1"/>
    <col min="1045" max="1046" width="15.875" style="42" customWidth="1"/>
    <col min="1047" max="1051" width="15.625" style="42" customWidth="1"/>
    <col min="1052" max="1052" width="81.375" style="42" customWidth="1"/>
    <col min="1053" max="1053" width="11.375" style="42" customWidth="1"/>
    <col min="1054" max="1054" width="10.5" style="42" customWidth="1"/>
    <col min="1055" max="1295" width="9" style="42"/>
    <col min="1296" max="1296" width="13.5" style="42" customWidth="1"/>
    <col min="1297" max="1297" width="67.375" style="42" customWidth="1"/>
    <col min="1298" max="1298" width="17.375" style="42" customWidth="1"/>
    <col min="1299" max="1300" width="16.25" style="42" customWidth="1"/>
    <col min="1301" max="1302" width="15.875" style="42" customWidth="1"/>
    <col min="1303" max="1307" width="15.625" style="42" customWidth="1"/>
    <col min="1308" max="1308" width="81.375" style="42" customWidth="1"/>
    <col min="1309" max="1309" width="11.375" style="42" customWidth="1"/>
    <col min="1310" max="1310" width="10.5" style="42" customWidth="1"/>
    <col min="1311" max="1551" width="9" style="42"/>
    <col min="1552" max="1552" width="13.5" style="42" customWidth="1"/>
    <col min="1553" max="1553" width="67.375" style="42" customWidth="1"/>
    <col min="1554" max="1554" width="17.375" style="42" customWidth="1"/>
    <col min="1555" max="1556" width="16.25" style="42" customWidth="1"/>
    <col min="1557" max="1558" width="15.875" style="42" customWidth="1"/>
    <col min="1559" max="1563" width="15.625" style="42" customWidth="1"/>
    <col min="1564" max="1564" width="81.375" style="42" customWidth="1"/>
    <col min="1565" max="1565" width="11.375" style="42" customWidth="1"/>
    <col min="1566" max="1566" width="10.5" style="42" customWidth="1"/>
    <col min="1567" max="1807" width="9" style="42"/>
    <col min="1808" max="1808" width="13.5" style="42" customWidth="1"/>
    <col min="1809" max="1809" width="67.375" style="42" customWidth="1"/>
    <col min="1810" max="1810" width="17.375" style="42" customWidth="1"/>
    <col min="1811" max="1812" width="16.25" style="42" customWidth="1"/>
    <col min="1813" max="1814" width="15.875" style="42" customWidth="1"/>
    <col min="1815" max="1819" width="15.625" style="42" customWidth="1"/>
    <col min="1820" max="1820" width="81.375" style="42" customWidth="1"/>
    <col min="1821" max="1821" width="11.375" style="42" customWidth="1"/>
    <col min="1822" max="1822" width="10.5" style="42" customWidth="1"/>
    <col min="1823" max="2063" width="9" style="42"/>
    <col min="2064" max="2064" width="13.5" style="42" customWidth="1"/>
    <col min="2065" max="2065" width="67.375" style="42" customWidth="1"/>
    <col min="2066" max="2066" width="17.375" style="42" customWidth="1"/>
    <col min="2067" max="2068" width="16.25" style="42" customWidth="1"/>
    <col min="2069" max="2070" width="15.875" style="42" customWidth="1"/>
    <col min="2071" max="2075" width="15.625" style="42" customWidth="1"/>
    <col min="2076" max="2076" width="81.375" style="42" customWidth="1"/>
    <col min="2077" max="2077" width="11.375" style="42" customWidth="1"/>
    <col min="2078" max="2078" width="10.5" style="42" customWidth="1"/>
    <col min="2079" max="2319" width="9" style="42"/>
    <col min="2320" max="2320" width="13.5" style="42" customWidth="1"/>
    <col min="2321" max="2321" width="67.375" style="42" customWidth="1"/>
    <col min="2322" max="2322" width="17.375" style="42" customWidth="1"/>
    <col min="2323" max="2324" width="16.25" style="42" customWidth="1"/>
    <col min="2325" max="2326" width="15.875" style="42" customWidth="1"/>
    <col min="2327" max="2331" width="15.625" style="42" customWidth="1"/>
    <col min="2332" max="2332" width="81.375" style="42" customWidth="1"/>
    <col min="2333" max="2333" width="11.375" style="42" customWidth="1"/>
    <col min="2334" max="2334" width="10.5" style="42" customWidth="1"/>
    <col min="2335" max="2575" width="9" style="42"/>
    <col min="2576" max="2576" width="13.5" style="42" customWidth="1"/>
    <col min="2577" max="2577" width="67.375" style="42" customWidth="1"/>
    <col min="2578" max="2578" width="17.375" style="42" customWidth="1"/>
    <col min="2579" max="2580" width="16.25" style="42" customWidth="1"/>
    <col min="2581" max="2582" width="15.875" style="42" customWidth="1"/>
    <col min="2583" max="2587" width="15.625" style="42" customWidth="1"/>
    <col min="2588" max="2588" width="81.375" style="42" customWidth="1"/>
    <col min="2589" max="2589" width="11.375" style="42" customWidth="1"/>
    <col min="2590" max="2590" width="10.5" style="42" customWidth="1"/>
    <col min="2591" max="2831" width="9" style="42"/>
    <col min="2832" max="2832" width="13.5" style="42" customWidth="1"/>
    <col min="2833" max="2833" width="67.375" style="42" customWidth="1"/>
    <col min="2834" max="2834" width="17.375" style="42" customWidth="1"/>
    <col min="2835" max="2836" width="16.25" style="42" customWidth="1"/>
    <col min="2837" max="2838" width="15.875" style="42" customWidth="1"/>
    <col min="2839" max="2843" width="15.625" style="42" customWidth="1"/>
    <col min="2844" max="2844" width="81.375" style="42" customWidth="1"/>
    <col min="2845" max="2845" width="11.375" style="42" customWidth="1"/>
    <col min="2846" max="2846" width="10.5" style="42" customWidth="1"/>
    <col min="2847" max="3087" width="9" style="42"/>
    <col min="3088" max="3088" width="13.5" style="42" customWidth="1"/>
    <col min="3089" max="3089" width="67.375" style="42" customWidth="1"/>
    <col min="3090" max="3090" width="17.375" style="42" customWidth="1"/>
    <col min="3091" max="3092" width="16.25" style="42" customWidth="1"/>
    <col min="3093" max="3094" width="15.875" style="42" customWidth="1"/>
    <col min="3095" max="3099" width="15.625" style="42" customWidth="1"/>
    <col min="3100" max="3100" width="81.375" style="42" customWidth="1"/>
    <col min="3101" max="3101" width="11.375" style="42" customWidth="1"/>
    <col min="3102" max="3102" width="10.5" style="42" customWidth="1"/>
    <col min="3103" max="3343" width="9" style="42"/>
    <col min="3344" max="3344" width="13.5" style="42" customWidth="1"/>
    <col min="3345" max="3345" width="67.375" style="42" customWidth="1"/>
    <col min="3346" max="3346" width="17.375" style="42" customWidth="1"/>
    <col min="3347" max="3348" width="16.25" style="42" customWidth="1"/>
    <col min="3349" max="3350" width="15.875" style="42" customWidth="1"/>
    <col min="3351" max="3355" width="15.625" style="42" customWidth="1"/>
    <col min="3356" max="3356" width="81.375" style="42" customWidth="1"/>
    <col min="3357" max="3357" width="11.375" style="42" customWidth="1"/>
    <col min="3358" max="3358" width="10.5" style="42" customWidth="1"/>
    <col min="3359" max="3599" width="9" style="42"/>
    <col min="3600" max="3600" width="13.5" style="42" customWidth="1"/>
    <col min="3601" max="3601" width="67.375" style="42" customWidth="1"/>
    <col min="3602" max="3602" width="17.375" style="42" customWidth="1"/>
    <col min="3603" max="3604" width="16.25" style="42" customWidth="1"/>
    <col min="3605" max="3606" width="15.875" style="42" customWidth="1"/>
    <col min="3607" max="3611" width="15.625" style="42" customWidth="1"/>
    <col min="3612" max="3612" width="81.375" style="42" customWidth="1"/>
    <col min="3613" max="3613" width="11.375" style="42" customWidth="1"/>
    <col min="3614" max="3614" width="10.5" style="42" customWidth="1"/>
    <col min="3615" max="3855" width="9" style="42"/>
    <col min="3856" max="3856" width="13.5" style="42" customWidth="1"/>
    <col min="3857" max="3857" width="67.375" style="42" customWidth="1"/>
    <col min="3858" max="3858" width="17.375" style="42" customWidth="1"/>
    <col min="3859" max="3860" width="16.25" style="42" customWidth="1"/>
    <col min="3861" max="3862" width="15.875" style="42" customWidth="1"/>
    <col min="3863" max="3867" width="15.625" style="42" customWidth="1"/>
    <col min="3868" max="3868" width="81.375" style="42" customWidth="1"/>
    <col min="3869" max="3869" width="11.375" style="42" customWidth="1"/>
    <col min="3870" max="3870" width="10.5" style="42" customWidth="1"/>
    <col min="3871" max="4111" width="9" style="42"/>
    <col min="4112" max="4112" width="13.5" style="42" customWidth="1"/>
    <col min="4113" max="4113" width="67.375" style="42" customWidth="1"/>
    <col min="4114" max="4114" width="17.375" style="42" customWidth="1"/>
    <col min="4115" max="4116" width="16.25" style="42" customWidth="1"/>
    <col min="4117" max="4118" width="15.875" style="42" customWidth="1"/>
    <col min="4119" max="4123" width="15.625" style="42" customWidth="1"/>
    <col min="4124" max="4124" width="81.375" style="42" customWidth="1"/>
    <col min="4125" max="4125" width="11.375" style="42" customWidth="1"/>
    <col min="4126" max="4126" width="10.5" style="42" customWidth="1"/>
    <col min="4127" max="4367" width="9" style="42"/>
    <col min="4368" max="4368" width="13.5" style="42" customWidth="1"/>
    <col min="4369" max="4369" width="67.375" style="42" customWidth="1"/>
    <col min="4370" max="4370" width="17.375" style="42" customWidth="1"/>
    <col min="4371" max="4372" width="16.25" style="42" customWidth="1"/>
    <col min="4373" max="4374" width="15.875" style="42" customWidth="1"/>
    <col min="4375" max="4379" width="15.625" style="42" customWidth="1"/>
    <col min="4380" max="4380" width="81.375" style="42" customWidth="1"/>
    <col min="4381" max="4381" width="11.375" style="42" customWidth="1"/>
    <col min="4382" max="4382" width="10.5" style="42" customWidth="1"/>
    <col min="4383" max="4623" width="9" style="42"/>
    <col min="4624" max="4624" width="13.5" style="42" customWidth="1"/>
    <col min="4625" max="4625" width="67.375" style="42" customWidth="1"/>
    <col min="4626" max="4626" width="17.375" style="42" customWidth="1"/>
    <col min="4627" max="4628" width="16.25" style="42" customWidth="1"/>
    <col min="4629" max="4630" width="15.875" style="42" customWidth="1"/>
    <col min="4631" max="4635" width="15.625" style="42" customWidth="1"/>
    <col min="4636" max="4636" width="81.375" style="42" customWidth="1"/>
    <col min="4637" max="4637" width="11.375" style="42" customWidth="1"/>
    <col min="4638" max="4638" width="10.5" style="42" customWidth="1"/>
    <col min="4639" max="4879" width="9" style="42"/>
    <col min="4880" max="4880" width="13.5" style="42" customWidth="1"/>
    <col min="4881" max="4881" width="67.375" style="42" customWidth="1"/>
    <col min="4882" max="4882" width="17.375" style="42" customWidth="1"/>
    <col min="4883" max="4884" width="16.25" style="42" customWidth="1"/>
    <col min="4885" max="4886" width="15.875" style="42" customWidth="1"/>
    <col min="4887" max="4891" width="15.625" style="42" customWidth="1"/>
    <col min="4892" max="4892" width="81.375" style="42" customWidth="1"/>
    <col min="4893" max="4893" width="11.375" style="42" customWidth="1"/>
    <col min="4894" max="4894" width="10.5" style="42" customWidth="1"/>
    <col min="4895" max="5135" width="9" style="42"/>
    <col min="5136" max="5136" width="13.5" style="42" customWidth="1"/>
    <col min="5137" max="5137" width="67.375" style="42" customWidth="1"/>
    <col min="5138" max="5138" width="17.375" style="42" customWidth="1"/>
    <col min="5139" max="5140" width="16.25" style="42" customWidth="1"/>
    <col min="5141" max="5142" width="15.875" style="42" customWidth="1"/>
    <col min="5143" max="5147" width="15.625" style="42" customWidth="1"/>
    <col min="5148" max="5148" width="81.375" style="42" customWidth="1"/>
    <col min="5149" max="5149" width="11.375" style="42" customWidth="1"/>
    <col min="5150" max="5150" width="10.5" style="42" customWidth="1"/>
    <col min="5151" max="5391" width="9" style="42"/>
    <col min="5392" max="5392" width="13.5" style="42" customWidth="1"/>
    <col min="5393" max="5393" width="67.375" style="42" customWidth="1"/>
    <col min="5394" max="5394" width="17.375" style="42" customWidth="1"/>
    <col min="5395" max="5396" width="16.25" style="42" customWidth="1"/>
    <col min="5397" max="5398" width="15.875" style="42" customWidth="1"/>
    <col min="5399" max="5403" width="15.625" style="42" customWidth="1"/>
    <col min="5404" max="5404" width="81.375" style="42" customWidth="1"/>
    <col min="5405" max="5405" width="11.375" style="42" customWidth="1"/>
    <col min="5406" max="5406" width="10.5" style="42" customWidth="1"/>
    <col min="5407" max="5647" width="9" style="42"/>
    <col min="5648" max="5648" width="13.5" style="42" customWidth="1"/>
    <col min="5649" max="5649" width="67.375" style="42" customWidth="1"/>
    <col min="5650" max="5650" width="17.375" style="42" customWidth="1"/>
    <col min="5651" max="5652" width="16.25" style="42" customWidth="1"/>
    <col min="5653" max="5654" width="15.875" style="42" customWidth="1"/>
    <col min="5655" max="5659" width="15.625" style="42" customWidth="1"/>
    <col min="5660" max="5660" width="81.375" style="42" customWidth="1"/>
    <col min="5661" max="5661" width="11.375" style="42" customWidth="1"/>
    <col min="5662" max="5662" width="10.5" style="42" customWidth="1"/>
    <col min="5663" max="5903" width="9" style="42"/>
    <col min="5904" max="5904" width="13.5" style="42" customWidth="1"/>
    <col min="5905" max="5905" width="67.375" style="42" customWidth="1"/>
    <col min="5906" max="5906" width="17.375" style="42" customWidth="1"/>
    <col min="5907" max="5908" width="16.25" style="42" customWidth="1"/>
    <col min="5909" max="5910" width="15.875" style="42" customWidth="1"/>
    <col min="5911" max="5915" width="15.625" style="42" customWidth="1"/>
    <col min="5916" max="5916" width="81.375" style="42" customWidth="1"/>
    <col min="5917" max="5917" width="11.375" style="42" customWidth="1"/>
    <col min="5918" max="5918" width="10.5" style="42" customWidth="1"/>
    <col min="5919" max="6159" width="9" style="42"/>
    <col min="6160" max="6160" width="13.5" style="42" customWidth="1"/>
    <col min="6161" max="6161" width="67.375" style="42" customWidth="1"/>
    <col min="6162" max="6162" width="17.375" style="42" customWidth="1"/>
    <col min="6163" max="6164" width="16.25" style="42" customWidth="1"/>
    <col min="6165" max="6166" width="15.875" style="42" customWidth="1"/>
    <col min="6167" max="6171" width="15.625" style="42" customWidth="1"/>
    <col min="6172" max="6172" width="81.375" style="42" customWidth="1"/>
    <col min="6173" max="6173" width="11.375" style="42" customWidth="1"/>
    <col min="6174" max="6174" width="10.5" style="42" customWidth="1"/>
    <col min="6175" max="6415" width="9" style="42"/>
    <col min="6416" max="6416" width="13.5" style="42" customWidth="1"/>
    <col min="6417" max="6417" width="67.375" style="42" customWidth="1"/>
    <col min="6418" max="6418" width="17.375" style="42" customWidth="1"/>
    <col min="6419" max="6420" width="16.25" style="42" customWidth="1"/>
    <col min="6421" max="6422" width="15.875" style="42" customWidth="1"/>
    <col min="6423" max="6427" width="15.625" style="42" customWidth="1"/>
    <col min="6428" max="6428" width="81.375" style="42" customWidth="1"/>
    <col min="6429" max="6429" width="11.375" style="42" customWidth="1"/>
    <col min="6430" max="6430" width="10.5" style="42" customWidth="1"/>
    <col min="6431" max="6671" width="9" style="42"/>
    <col min="6672" max="6672" width="13.5" style="42" customWidth="1"/>
    <col min="6673" max="6673" width="67.375" style="42" customWidth="1"/>
    <col min="6674" max="6674" width="17.375" style="42" customWidth="1"/>
    <col min="6675" max="6676" width="16.25" style="42" customWidth="1"/>
    <col min="6677" max="6678" width="15.875" style="42" customWidth="1"/>
    <col min="6679" max="6683" width="15.625" style="42" customWidth="1"/>
    <col min="6684" max="6684" width="81.375" style="42" customWidth="1"/>
    <col min="6685" max="6685" width="11.375" style="42" customWidth="1"/>
    <col min="6686" max="6686" width="10.5" style="42" customWidth="1"/>
    <col min="6687" max="6927" width="9" style="42"/>
    <col min="6928" max="6928" width="13.5" style="42" customWidth="1"/>
    <col min="6929" max="6929" width="67.375" style="42" customWidth="1"/>
    <col min="6930" max="6930" width="17.375" style="42" customWidth="1"/>
    <col min="6931" max="6932" width="16.25" style="42" customWidth="1"/>
    <col min="6933" max="6934" width="15.875" style="42" customWidth="1"/>
    <col min="6935" max="6939" width="15.625" style="42" customWidth="1"/>
    <col min="6940" max="6940" width="81.375" style="42" customWidth="1"/>
    <col min="6941" max="6941" width="11.375" style="42" customWidth="1"/>
    <col min="6942" max="6942" width="10.5" style="42" customWidth="1"/>
    <col min="6943" max="7183" width="9" style="42"/>
    <col min="7184" max="7184" width="13.5" style="42" customWidth="1"/>
    <col min="7185" max="7185" width="67.375" style="42" customWidth="1"/>
    <col min="7186" max="7186" width="17.375" style="42" customWidth="1"/>
    <col min="7187" max="7188" width="16.25" style="42" customWidth="1"/>
    <col min="7189" max="7190" width="15.875" style="42" customWidth="1"/>
    <col min="7191" max="7195" width="15.625" style="42" customWidth="1"/>
    <col min="7196" max="7196" width="81.375" style="42" customWidth="1"/>
    <col min="7197" max="7197" width="11.375" style="42" customWidth="1"/>
    <col min="7198" max="7198" width="10.5" style="42" customWidth="1"/>
    <col min="7199" max="7439" width="9" style="42"/>
    <col min="7440" max="7440" width="13.5" style="42" customWidth="1"/>
    <col min="7441" max="7441" width="67.375" style="42" customWidth="1"/>
    <col min="7442" max="7442" width="17.375" style="42" customWidth="1"/>
    <col min="7443" max="7444" width="16.25" style="42" customWidth="1"/>
    <col min="7445" max="7446" width="15.875" style="42" customWidth="1"/>
    <col min="7447" max="7451" width="15.625" style="42" customWidth="1"/>
    <col min="7452" max="7452" width="81.375" style="42" customWidth="1"/>
    <col min="7453" max="7453" width="11.375" style="42" customWidth="1"/>
    <col min="7454" max="7454" width="10.5" style="42" customWidth="1"/>
    <col min="7455" max="7695" width="9" style="42"/>
    <col min="7696" max="7696" width="13.5" style="42" customWidth="1"/>
    <col min="7697" max="7697" width="67.375" style="42" customWidth="1"/>
    <col min="7698" max="7698" width="17.375" style="42" customWidth="1"/>
    <col min="7699" max="7700" width="16.25" style="42" customWidth="1"/>
    <col min="7701" max="7702" width="15.875" style="42" customWidth="1"/>
    <col min="7703" max="7707" width="15.625" style="42" customWidth="1"/>
    <col min="7708" max="7708" width="81.375" style="42" customWidth="1"/>
    <col min="7709" max="7709" width="11.375" style="42" customWidth="1"/>
    <col min="7710" max="7710" width="10.5" style="42" customWidth="1"/>
    <col min="7711" max="7951" width="9" style="42"/>
    <col min="7952" max="7952" width="13.5" style="42" customWidth="1"/>
    <col min="7953" max="7953" width="67.375" style="42" customWidth="1"/>
    <col min="7954" max="7954" width="17.375" style="42" customWidth="1"/>
    <col min="7955" max="7956" width="16.25" style="42" customWidth="1"/>
    <col min="7957" max="7958" width="15.875" style="42" customWidth="1"/>
    <col min="7959" max="7963" width="15.625" style="42" customWidth="1"/>
    <col min="7964" max="7964" width="81.375" style="42" customWidth="1"/>
    <col min="7965" max="7965" width="11.375" style="42" customWidth="1"/>
    <col min="7966" max="7966" width="10.5" style="42" customWidth="1"/>
    <col min="7967" max="8207" width="9" style="42"/>
    <col min="8208" max="8208" width="13.5" style="42" customWidth="1"/>
    <col min="8209" max="8209" width="67.375" style="42" customWidth="1"/>
    <col min="8210" max="8210" width="17.375" style="42" customWidth="1"/>
    <col min="8211" max="8212" width="16.25" style="42" customWidth="1"/>
    <col min="8213" max="8214" width="15.875" style="42" customWidth="1"/>
    <col min="8215" max="8219" width="15.625" style="42" customWidth="1"/>
    <col min="8220" max="8220" width="81.375" style="42" customWidth="1"/>
    <col min="8221" max="8221" width="11.375" style="42" customWidth="1"/>
    <col min="8222" max="8222" width="10.5" style="42" customWidth="1"/>
    <col min="8223" max="8463" width="9" style="42"/>
    <col min="8464" max="8464" width="13.5" style="42" customWidth="1"/>
    <col min="8465" max="8465" width="67.375" style="42" customWidth="1"/>
    <col min="8466" max="8466" width="17.375" style="42" customWidth="1"/>
    <col min="8467" max="8468" width="16.25" style="42" customWidth="1"/>
    <col min="8469" max="8470" width="15.875" style="42" customWidth="1"/>
    <col min="8471" max="8475" width="15.625" style="42" customWidth="1"/>
    <col min="8476" max="8476" width="81.375" style="42" customWidth="1"/>
    <col min="8477" max="8477" width="11.375" style="42" customWidth="1"/>
    <col min="8478" max="8478" width="10.5" style="42" customWidth="1"/>
    <col min="8479" max="8719" width="9" style="42"/>
    <col min="8720" max="8720" width="13.5" style="42" customWidth="1"/>
    <col min="8721" max="8721" width="67.375" style="42" customWidth="1"/>
    <col min="8722" max="8722" width="17.375" style="42" customWidth="1"/>
    <col min="8723" max="8724" width="16.25" style="42" customWidth="1"/>
    <col min="8725" max="8726" width="15.875" style="42" customWidth="1"/>
    <col min="8727" max="8731" width="15.625" style="42" customWidth="1"/>
    <col min="8732" max="8732" width="81.375" style="42" customWidth="1"/>
    <col min="8733" max="8733" width="11.375" style="42" customWidth="1"/>
    <col min="8734" max="8734" width="10.5" style="42" customWidth="1"/>
    <col min="8735" max="8975" width="9" style="42"/>
    <col min="8976" max="8976" width="13.5" style="42" customWidth="1"/>
    <col min="8977" max="8977" width="67.375" style="42" customWidth="1"/>
    <col min="8978" max="8978" width="17.375" style="42" customWidth="1"/>
    <col min="8979" max="8980" width="16.25" style="42" customWidth="1"/>
    <col min="8981" max="8982" width="15.875" style="42" customWidth="1"/>
    <col min="8983" max="8987" width="15.625" style="42" customWidth="1"/>
    <col min="8988" max="8988" width="81.375" style="42" customWidth="1"/>
    <col min="8989" max="8989" width="11.375" style="42" customWidth="1"/>
    <col min="8990" max="8990" width="10.5" style="42" customWidth="1"/>
    <col min="8991" max="9231" width="9" style="42"/>
    <col min="9232" max="9232" width="13.5" style="42" customWidth="1"/>
    <col min="9233" max="9233" width="67.375" style="42" customWidth="1"/>
    <col min="9234" max="9234" width="17.375" style="42" customWidth="1"/>
    <col min="9235" max="9236" width="16.25" style="42" customWidth="1"/>
    <col min="9237" max="9238" width="15.875" style="42" customWidth="1"/>
    <col min="9239" max="9243" width="15.625" style="42" customWidth="1"/>
    <col min="9244" max="9244" width="81.375" style="42" customWidth="1"/>
    <col min="9245" max="9245" width="11.375" style="42" customWidth="1"/>
    <col min="9246" max="9246" width="10.5" style="42" customWidth="1"/>
    <col min="9247" max="9487" width="9" style="42"/>
    <col min="9488" max="9488" width="13.5" style="42" customWidth="1"/>
    <col min="9489" max="9489" width="67.375" style="42" customWidth="1"/>
    <col min="9490" max="9490" width="17.375" style="42" customWidth="1"/>
    <col min="9491" max="9492" width="16.25" style="42" customWidth="1"/>
    <col min="9493" max="9494" width="15.875" style="42" customWidth="1"/>
    <col min="9495" max="9499" width="15.625" style="42" customWidth="1"/>
    <col min="9500" max="9500" width="81.375" style="42" customWidth="1"/>
    <col min="9501" max="9501" width="11.375" style="42" customWidth="1"/>
    <col min="9502" max="9502" width="10.5" style="42" customWidth="1"/>
    <col min="9503" max="9743" width="9" style="42"/>
    <col min="9744" max="9744" width="13.5" style="42" customWidth="1"/>
    <col min="9745" max="9745" width="67.375" style="42" customWidth="1"/>
    <col min="9746" max="9746" width="17.375" style="42" customWidth="1"/>
    <col min="9747" max="9748" width="16.25" style="42" customWidth="1"/>
    <col min="9749" max="9750" width="15.875" style="42" customWidth="1"/>
    <col min="9751" max="9755" width="15.625" style="42" customWidth="1"/>
    <col min="9756" max="9756" width="81.375" style="42" customWidth="1"/>
    <col min="9757" max="9757" width="11.375" style="42" customWidth="1"/>
    <col min="9758" max="9758" width="10.5" style="42" customWidth="1"/>
    <col min="9759" max="9999" width="9" style="42"/>
    <col min="10000" max="10000" width="13.5" style="42" customWidth="1"/>
    <col min="10001" max="10001" width="67.375" style="42" customWidth="1"/>
    <col min="10002" max="10002" width="17.375" style="42" customWidth="1"/>
    <col min="10003" max="10004" width="16.25" style="42" customWidth="1"/>
    <col min="10005" max="10006" width="15.875" style="42" customWidth="1"/>
    <col min="10007" max="10011" width="15.625" style="42" customWidth="1"/>
    <col min="10012" max="10012" width="81.375" style="42" customWidth="1"/>
    <col min="10013" max="10013" width="11.375" style="42" customWidth="1"/>
    <col min="10014" max="10014" width="10.5" style="42" customWidth="1"/>
    <col min="10015" max="10255" width="9" style="42"/>
    <col min="10256" max="10256" width="13.5" style="42" customWidth="1"/>
    <col min="10257" max="10257" width="67.375" style="42" customWidth="1"/>
    <col min="10258" max="10258" width="17.375" style="42" customWidth="1"/>
    <col min="10259" max="10260" width="16.25" style="42" customWidth="1"/>
    <col min="10261" max="10262" width="15.875" style="42" customWidth="1"/>
    <col min="10263" max="10267" width="15.625" style="42" customWidth="1"/>
    <col min="10268" max="10268" width="81.375" style="42" customWidth="1"/>
    <col min="10269" max="10269" width="11.375" style="42" customWidth="1"/>
    <col min="10270" max="10270" width="10.5" style="42" customWidth="1"/>
    <col min="10271" max="10511" width="9" style="42"/>
    <col min="10512" max="10512" width="13.5" style="42" customWidth="1"/>
    <col min="10513" max="10513" width="67.375" style="42" customWidth="1"/>
    <col min="10514" max="10514" width="17.375" style="42" customWidth="1"/>
    <col min="10515" max="10516" width="16.25" style="42" customWidth="1"/>
    <col min="10517" max="10518" width="15.875" style="42" customWidth="1"/>
    <col min="10519" max="10523" width="15.625" style="42" customWidth="1"/>
    <col min="10524" max="10524" width="81.375" style="42" customWidth="1"/>
    <col min="10525" max="10525" width="11.375" style="42" customWidth="1"/>
    <col min="10526" max="10526" width="10.5" style="42" customWidth="1"/>
    <col min="10527" max="10767" width="9" style="42"/>
    <col min="10768" max="10768" width="13.5" style="42" customWidth="1"/>
    <col min="10769" max="10769" width="67.375" style="42" customWidth="1"/>
    <col min="10770" max="10770" width="17.375" style="42" customWidth="1"/>
    <col min="10771" max="10772" width="16.25" style="42" customWidth="1"/>
    <col min="10773" max="10774" width="15.875" style="42" customWidth="1"/>
    <col min="10775" max="10779" width="15.625" style="42" customWidth="1"/>
    <col min="10780" max="10780" width="81.375" style="42" customWidth="1"/>
    <col min="10781" max="10781" width="11.375" style="42" customWidth="1"/>
    <col min="10782" max="10782" width="10.5" style="42" customWidth="1"/>
    <col min="10783" max="11023" width="9" style="42"/>
    <col min="11024" max="11024" width="13.5" style="42" customWidth="1"/>
    <col min="11025" max="11025" width="67.375" style="42" customWidth="1"/>
    <col min="11026" max="11026" width="17.375" style="42" customWidth="1"/>
    <col min="11027" max="11028" width="16.25" style="42" customWidth="1"/>
    <col min="11029" max="11030" width="15.875" style="42" customWidth="1"/>
    <col min="11031" max="11035" width="15.625" style="42" customWidth="1"/>
    <col min="11036" max="11036" width="81.375" style="42" customWidth="1"/>
    <col min="11037" max="11037" width="11.375" style="42" customWidth="1"/>
    <col min="11038" max="11038" width="10.5" style="42" customWidth="1"/>
    <col min="11039" max="11279" width="9" style="42"/>
    <col min="11280" max="11280" width="13.5" style="42" customWidth="1"/>
    <col min="11281" max="11281" width="67.375" style="42" customWidth="1"/>
    <col min="11282" max="11282" width="17.375" style="42" customWidth="1"/>
    <col min="11283" max="11284" width="16.25" style="42" customWidth="1"/>
    <col min="11285" max="11286" width="15.875" style="42" customWidth="1"/>
    <col min="11287" max="11291" width="15.625" style="42" customWidth="1"/>
    <col min="11292" max="11292" width="81.375" style="42" customWidth="1"/>
    <col min="11293" max="11293" width="11.375" style="42" customWidth="1"/>
    <col min="11294" max="11294" width="10.5" style="42" customWidth="1"/>
    <col min="11295" max="11535" width="9" style="42"/>
    <col min="11536" max="11536" width="13.5" style="42" customWidth="1"/>
    <col min="11537" max="11537" width="67.375" style="42" customWidth="1"/>
    <col min="11538" max="11538" width="17.375" style="42" customWidth="1"/>
    <col min="11539" max="11540" width="16.25" style="42" customWidth="1"/>
    <col min="11541" max="11542" width="15.875" style="42" customWidth="1"/>
    <col min="11543" max="11547" width="15.625" style="42" customWidth="1"/>
    <col min="11548" max="11548" width="81.375" style="42" customWidth="1"/>
    <col min="11549" max="11549" width="11.375" style="42" customWidth="1"/>
    <col min="11550" max="11550" width="10.5" style="42" customWidth="1"/>
    <col min="11551" max="11791" width="9" style="42"/>
    <col min="11792" max="11792" width="13.5" style="42" customWidth="1"/>
    <col min="11793" max="11793" width="67.375" style="42" customWidth="1"/>
    <col min="11794" max="11794" width="17.375" style="42" customWidth="1"/>
    <col min="11795" max="11796" width="16.25" style="42" customWidth="1"/>
    <col min="11797" max="11798" width="15.875" style="42" customWidth="1"/>
    <col min="11799" max="11803" width="15.625" style="42" customWidth="1"/>
    <col min="11804" max="11804" width="81.375" style="42" customWidth="1"/>
    <col min="11805" max="11805" width="11.375" style="42" customWidth="1"/>
    <col min="11806" max="11806" width="10.5" style="42" customWidth="1"/>
    <col min="11807" max="12047" width="9" style="42"/>
    <col min="12048" max="12048" width="13.5" style="42" customWidth="1"/>
    <col min="12049" max="12049" width="67.375" style="42" customWidth="1"/>
    <col min="12050" max="12050" width="17.375" style="42" customWidth="1"/>
    <col min="12051" max="12052" width="16.25" style="42" customWidth="1"/>
    <col min="12053" max="12054" width="15.875" style="42" customWidth="1"/>
    <col min="12055" max="12059" width="15.625" style="42" customWidth="1"/>
    <col min="12060" max="12060" width="81.375" style="42" customWidth="1"/>
    <col min="12061" max="12061" width="11.375" style="42" customWidth="1"/>
    <col min="12062" max="12062" width="10.5" style="42" customWidth="1"/>
    <col min="12063" max="12303" width="9" style="42"/>
    <col min="12304" max="12304" width="13.5" style="42" customWidth="1"/>
    <col min="12305" max="12305" width="67.375" style="42" customWidth="1"/>
    <col min="12306" max="12306" width="17.375" style="42" customWidth="1"/>
    <col min="12307" max="12308" width="16.25" style="42" customWidth="1"/>
    <col min="12309" max="12310" width="15.875" style="42" customWidth="1"/>
    <col min="12311" max="12315" width="15.625" style="42" customWidth="1"/>
    <col min="12316" max="12316" width="81.375" style="42" customWidth="1"/>
    <col min="12317" max="12317" width="11.375" style="42" customWidth="1"/>
    <col min="12318" max="12318" width="10.5" style="42" customWidth="1"/>
    <col min="12319" max="12559" width="9" style="42"/>
    <col min="12560" max="12560" width="13.5" style="42" customWidth="1"/>
    <col min="12561" max="12561" width="67.375" style="42" customWidth="1"/>
    <col min="12562" max="12562" width="17.375" style="42" customWidth="1"/>
    <col min="12563" max="12564" width="16.25" style="42" customWidth="1"/>
    <col min="12565" max="12566" width="15.875" style="42" customWidth="1"/>
    <col min="12567" max="12571" width="15.625" style="42" customWidth="1"/>
    <col min="12572" max="12572" width="81.375" style="42" customWidth="1"/>
    <col min="12573" max="12573" width="11.375" style="42" customWidth="1"/>
    <col min="12574" max="12574" width="10.5" style="42" customWidth="1"/>
    <col min="12575" max="12815" width="9" style="42"/>
    <col min="12816" max="12816" width="13.5" style="42" customWidth="1"/>
    <col min="12817" max="12817" width="67.375" style="42" customWidth="1"/>
    <col min="12818" max="12818" width="17.375" style="42" customWidth="1"/>
    <col min="12819" max="12820" width="16.25" style="42" customWidth="1"/>
    <col min="12821" max="12822" width="15.875" style="42" customWidth="1"/>
    <col min="12823" max="12827" width="15.625" style="42" customWidth="1"/>
    <col min="12828" max="12828" width="81.375" style="42" customWidth="1"/>
    <col min="12829" max="12829" width="11.375" style="42" customWidth="1"/>
    <col min="12830" max="12830" width="10.5" style="42" customWidth="1"/>
    <col min="12831" max="13071" width="9" style="42"/>
    <col min="13072" max="13072" width="13.5" style="42" customWidth="1"/>
    <col min="13073" max="13073" width="67.375" style="42" customWidth="1"/>
    <col min="13074" max="13074" width="17.375" style="42" customWidth="1"/>
    <col min="13075" max="13076" width="16.25" style="42" customWidth="1"/>
    <col min="13077" max="13078" width="15.875" style="42" customWidth="1"/>
    <col min="13079" max="13083" width="15.625" style="42" customWidth="1"/>
    <col min="13084" max="13084" width="81.375" style="42" customWidth="1"/>
    <col min="13085" max="13085" width="11.375" style="42" customWidth="1"/>
    <col min="13086" max="13086" width="10.5" style="42" customWidth="1"/>
    <col min="13087" max="13327" width="9" style="42"/>
    <col min="13328" max="13328" width="13.5" style="42" customWidth="1"/>
    <col min="13329" max="13329" width="67.375" style="42" customWidth="1"/>
    <col min="13330" max="13330" width="17.375" style="42" customWidth="1"/>
    <col min="13331" max="13332" width="16.25" style="42" customWidth="1"/>
    <col min="13333" max="13334" width="15.875" style="42" customWidth="1"/>
    <col min="13335" max="13339" width="15.625" style="42" customWidth="1"/>
    <col min="13340" max="13340" width="81.375" style="42" customWidth="1"/>
    <col min="13341" max="13341" width="11.375" style="42" customWidth="1"/>
    <col min="13342" max="13342" width="10.5" style="42" customWidth="1"/>
    <col min="13343" max="13583" width="9" style="42"/>
    <col min="13584" max="13584" width="13.5" style="42" customWidth="1"/>
    <col min="13585" max="13585" width="67.375" style="42" customWidth="1"/>
    <col min="13586" max="13586" width="17.375" style="42" customWidth="1"/>
    <col min="13587" max="13588" width="16.25" style="42" customWidth="1"/>
    <col min="13589" max="13590" width="15.875" style="42" customWidth="1"/>
    <col min="13591" max="13595" width="15.625" style="42" customWidth="1"/>
    <col min="13596" max="13596" width="81.375" style="42" customWidth="1"/>
    <col min="13597" max="13597" width="11.375" style="42" customWidth="1"/>
    <col min="13598" max="13598" width="10.5" style="42" customWidth="1"/>
    <col min="13599" max="13839" width="9" style="42"/>
    <col min="13840" max="13840" width="13.5" style="42" customWidth="1"/>
    <col min="13841" max="13841" width="67.375" style="42" customWidth="1"/>
    <col min="13842" max="13842" width="17.375" style="42" customWidth="1"/>
    <col min="13843" max="13844" width="16.25" style="42" customWidth="1"/>
    <col min="13845" max="13846" width="15.875" style="42" customWidth="1"/>
    <col min="13847" max="13851" width="15.625" style="42" customWidth="1"/>
    <col min="13852" max="13852" width="81.375" style="42" customWidth="1"/>
    <col min="13853" max="13853" width="11.375" style="42" customWidth="1"/>
    <col min="13854" max="13854" width="10.5" style="42" customWidth="1"/>
    <col min="13855" max="14095" width="9" style="42"/>
    <col min="14096" max="14096" width="13.5" style="42" customWidth="1"/>
    <col min="14097" max="14097" width="67.375" style="42" customWidth="1"/>
    <col min="14098" max="14098" width="17.375" style="42" customWidth="1"/>
    <col min="14099" max="14100" width="16.25" style="42" customWidth="1"/>
    <col min="14101" max="14102" width="15.875" style="42" customWidth="1"/>
    <col min="14103" max="14107" width="15.625" style="42" customWidth="1"/>
    <col min="14108" max="14108" width="81.375" style="42" customWidth="1"/>
    <col min="14109" max="14109" width="11.375" style="42" customWidth="1"/>
    <col min="14110" max="14110" width="10.5" style="42" customWidth="1"/>
    <col min="14111" max="14351" width="9" style="42"/>
    <col min="14352" max="14352" width="13.5" style="42" customWidth="1"/>
    <col min="14353" max="14353" width="67.375" style="42" customWidth="1"/>
    <col min="14354" max="14354" width="17.375" style="42" customWidth="1"/>
    <col min="14355" max="14356" width="16.25" style="42" customWidth="1"/>
    <col min="14357" max="14358" width="15.875" style="42" customWidth="1"/>
    <col min="14359" max="14363" width="15.625" style="42" customWidth="1"/>
    <col min="14364" max="14364" width="81.375" style="42" customWidth="1"/>
    <col min="14365" max="14365" width="11.375" style="42" customWidth="1"/>
    <col min="14366" max="14366" width="10.5" style="42" customWidth="1"/>
    <col min="14367" max="14607" width="9" style="42"/>
    <col min="14608" max="14608" width="13.5" style="42" customWidth="1"/>
    <col min="14609" max="14609" width="67.375" style="42" customWidth="1"/>
    <col min="14610" max="14610" width="17.375" style="42" customWidth="1"/>
    <col min="14611" max="14612" width="16.25" style="42" customWidth="1"/>
    <col min="14613" max="14614" width="15.875" style="42" customWidth="1"/>
    <col min="14615" max="14619" width="15.625" style="42" customWidth="1"/>
    <col min="14620" max="14620" width="81.375" style="42" customWidth="1"/>
    <col min="14621" max="14621" width="11.375" style="42" customWidth="1"/>
    <col min="14622" max="14622" width="10.5" style="42" customWidth="1"/>
    <col min="14623" max="14863" width="9" style="42"/>
    <col min="14864" max="14864" width="13.5" style="42" customWidth="1"/>
    <col min="14865" max="14865" width="67.375" style="42" customWidth="1"/>
    <col min="14866" max="14866" width="17.375" style="42" customWidth="1"/>
    <col min="14867" max="14868" width="16.25" style="42" customWidth="1"/>
    <col min="14869" max="14870" width="15.875" style="42" customWidth="1"/>
    <col min="14871" max="14875" width="15.625" style="42" customWidth="1"/>
    <col min="14876" max="14876" width="81.375" style="42" customWidth="1"/>
    <col min="14877" max="14877" width="11.375" style="42" customWidth="1"/>
    <col min="14878" max="14878" width="10.5" style="42" customWidth="1"/>
    <col min="14879" max="15119" width="9" style="42"/>
    <col min="15120" max="15120" width="13.5" style="42" customWidth="1"/>
    <col min="15121" max="15121" width="67.375" style="42" customWidth="1"/>
    <col min="15122" max="15122" width="17.375" style="42" customWidth="1"/>
    <col min="15123" max="15124" width="16.25" style="42" customWidth="1"/>
    <col min="15125" max="15126" width="15.875" style="42" customWidth="1"/>
    <col min="15127" max="15131" width="15.625" style="42" customWidth="1"/>
    <col min="15132" max="15132" width="81.375" style="42" customWidth="1"/>
    <col min="15133" max="15133" width="11.375" style="42" customWidth="1"/>
    <col min="15134" max="15134" width="10.5" style="42" customWidth="1"/>
    <col min="15135" max="15375" width="9" style="42"/>
    <col min="15376" max="15376" width="13.5" style="42" customWidth="1"/>
    <col min="15377" max="15377" width="67.375" style="42" customWidth="1"/>
    <col min="15378" max="15378" width="17.375" style="42" customWidth="1"/>
    <col min="15379" max="15380" width="16.25" style="42" customWidth="1"/>
    <col min="15381" max="15382" width="15.875" style="42" customWidth="1"/>
    <col min="15383" max="15387" width="15.625" style="42" customWidth="1"/>
    <col min="15388" max="15388" width="81.375" style="42" customWidth="1"/>
    <col min="15389" max="15389" width="11.375" style="42" customWidth="1"/>
    <col min="15390" max="15390" width="10.5" style="42" customWidth="1"/>
    <col min="15391" max="15631" width="9" style="42"/>
    <col min="15632" max="15632" width="13.5" style="42" customWidth="1"/>
    <col min="15633" max="15633" width="67.375" style="42" customWidth="1"/>
    <col min="15634" max="15634" width="17.375" style="42" customWidth="1"/>
    <col min="15635" max="15636" width="16.25" style="42" customWidth="1"/>
    <col min="15637" max="15638" width="15.875" style="42" customWidth="1"/>
    <col min="15639" max="15643" width="15.625" style="42" customWidth="1"/>
    <col min="15644" max="15644" width="81.375" style="42" customWidth="1"/>
    <col min="15645" max="15645" width="11.375" style="42" customWidth="1"/>
    <col min="15646" max="15646" width="10.5" style="42" customWidth="1"/>
    <col min="15647" max="15887" width="9" style="42"/>
    <col min="15888" max="15888" width="13.5" style="42" customWidth="1"/>
    <col min="15889" max="15889" width="67.375" style="42" customWidth="1"/>
    <col min="15890" max="15890" width="17.375" style="42" customWidth="1"/>
    <col min="15891" max="15892" width="16.25" style="42" customWidth="1"/>
    <col min="15893" max="15894" width="15.875" style="42" customWidth="1"/>
    <col min="15895" max="15899" width="15.625" style="42" customWidth="1"/>
    <col min="15900" max="15900" width="81.375" style="42" customWidth="1"/>
    <col min="15901" max="15901" width="11.375" style="42" customWidth="1"/>
    <col min="15902" max="15902" width="10.5" style="42" customWidth="1"/>
    <col min="15903" max="16143" width="9" style="42"/>
    <col min="16144" max="16144" width="13.5" style="42" customWidth="1"/>
    <col min="16145" max="16145" width="67.375" style="42" customWidth="1"/>
    <col min="16146" max="16146" width="17.375" style="42" customWidth="1"/>
    <col min="16147" max="16148" width="16.25" style="42" customWidth="1"/>
    <col min="16149" max="16150" width="15.875" style="42" customWidth="1"/>
    <col min="16151" max="16155" width="15.625" style="42" customWidth="1"/>
    <col min="16156" max="16156" width="81.375" style="42" customWidth="1"/>
    <col min="16157" max="16157" width="11.375" style="42" customWidth="1"/>
    <col min="16158" max="16158" width="10.5" style="42" customWidth="1"/>
    <col min="16159" max="16384" width="9" style="42"/>
  </cols>
  <sheetData>
    <row r="1" spans="1:33" ht="23.25" customHeight="1" x14ac:dyDescent="0.25">
      <c r="D1" s="39"/>
      <c r="J1" s="43"/>
      <c r="L1" s="43"/>
      <c r="M1" s="43"/>
      <c r="N1" s="43"/>
      <c r="O1" s="43"/>
      <c r="P1" s="43"/>
      <c r="Q1" s="43"/>
      <c r="R1" s="43"/>
      <c r="S1" s="43"/>
      <c r="Y1" s="96"/>
      <c r="AA1" s="54"/>
      <c r="AB1" s="39"/>
      <c r="AE1" s="55" t="s">
        <v>113</v>
      </c>
    </row>
    <row r="2" spans="1:33" ht="21" customHeight="1" x14ac:dyDescent="0.25">
      <c r="D2" s="39"/>
      <c r="Y2" s="96"/>
      <c r="AA2" s="54"/>
      <c r="AB2" s="39"/>
      <c r="AE2" s="55" t="s">
        <v>0</v>
      </c>
    </row>
    <row r="3" spans="1:33" ht="25.5" customHeight="1" x14ac:dyDescent="0.25">
      <c r="D3" s="39"/>
      <c r="Y3" s="96"/>
      <c r="AA3" s="54"/>
      <c r="AB3" s="39"/>
      <c r="AE3" s="55" t="s">
        <v>1</v>
      </c>
    </row>
    <row r="4" spans="1:33" ht="26.25" customHeight="1" x14ac:dyDescent="0.25">
      <c r="D4" s="39"/>
      <c r="Y4" s="96"/>
      <c r="AA4" s="54"/>
      <c r="AB4" s="39"/>
      <c r="AE4" s="55"/>
    </row>
    <row r="5" spans="1:33" ht="25.5" customHeight="1" x14ac:dyDescent="0.25">
      <c r="A5" s="117" t="s">
        <v>250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</row>
    <row r="6" spans="1:33" ht="25.5" customHeight="1" x14ac:dyDescent="0.25">
      <c r="D6" s="39"/>
      <c r="T6" s="48"/>
      <c r="U6" s="48"/>
      <c r="V6" s="48"/>
      <c r="W6" s="48"/>
      <c r="X6" s="48"/>
      <c r="Y6" s="96"/>
      <c r="AA6" s="54"/>
      <c r="AB6" s="39"/>
      <c r="AE6" s="55" t="s">
        <v>2</v>
      </c>
    </row>
    <row r="7" spans="1:33" ht="19.5" customHeight="1" x14ac:dyDescent="0.25">
      <c r="D7" s="39"/>
      <c r="T7" s="48"/>
      <c r="U7" s="48"/>
      <c r="V7" s="48"/>
      <c r="W7" s="48"/>
      <c r="X7" s="48"/>
      <c r="Y7" s="96"/>
      <c r="AA7" s="54"/>
      <c r="AB7" s="39"/>
      <c r="AE7" s="55" t="s">
        <v>30</v>
      </c>
    </row>
    <row r="8" spans="1:33" ht="21" customHeight="1" x14ac:dyDescent="0.25">
      <c r="D8" s="39"/>
      <c r="T8" s="48"/>
      <c r="U8" s="48"/>
      <c r="V8" s="48"/>
      <c r="W8" s="48"/>
      <c r="X8" s="48"/>
      <c r="Y8" s="96"/>
      <c r="AA8" s="54"/>
      <c r="AB8" s="39"/>
      <c r="AE8" s="55" t="s">
        <v>249</v>
      </c>
    </row>
    <row r="9" spans="1:33" ht="20.25" customHeight="1" x14ac:dyDescent="0.25">
      <c r="D9" s="39"/>
      <c r="T9" s="48"/>
      <c r="U9" s="48"/>
      <c r="V9" s="48"/>
      <c r="W9" s="48"/>
      <c r="X9" s="48"/>
      <c r="Y9" s="96"/>
      <c r="AA9" s="54"/>
      <c r="AB9" s="39"/>
      <c r="AE9" s="56"/>
    </row>
    <row r="10" spans="1:33" ht="15.75" x14ac:dyDescent="0.25">
      <c r="A10" s="57"/>
      <c r="D10" s="39"/>
      <c r="T10" s="49"/>
      <c r="U10" s="49"/>
      <c r="V10" s="49"/>
      <c r="W10" s="49"/>
      <c r="X10" s="49"/>
      <c r="Y10" s="96"/>
      <c r="AA10" s="54"/>
      <c r="AB10" s="39"/>
      <c r="AE10" s="55" t="s">
        <v>3</v>
      </c>
    </row>
    <row r="11" spans="1:33" ht="17.25" customHeight="1" x14ac:dyDescent="0.25">
      <c r="A11" s="57"/>
      <c r="D11" s="39"/>
      <c r="T11" s="50"/>
      <c r="U11" s="50"/>
      <c r="V11" s="50"/>
      <c r="W11" s="50"/>
      <c r="X11" s="50"/>
      <c r="Y11" s="97"/>
      <c r="AA11" s="54"/>
      <c r="AB11" s="39"/>
      <c r="AE11" s="55" t="s">
        <v>4</v>
      </c>
    </row>
    <row r="12" spans="1:33" ht="39" customHeight="1" x14ac:dyDescent="0.65">
      <c r="A12" s="58"/>
      <c r="B12" s="44"/>
      <c r="C12" s="40"/>
      <c r="D12" s="40"/>
      <c r="E12" s="86"/>
      <c r="F12" s="44"/>
      <c r="G12" s="44"/>
      <c r="H12" s="44"/>
      <c r="I12" s="44"/>
      <c r="J12" s="44"/>
      <c r="K12" s="115"/>
      <c r="L12" s="44"/>
      <c r="M12" s="44"/>
      <c r="N12" s="44"/>
      <c r="O12" s="44"/>
      <c r="P12" s="44"/>
      <c r="Q12" s="44"/>
      <c r="R12" s="44"/>
      <c r="S12" s="44"/>
      <c r="T12" s="51"/>
      <c r="U12" s="51"/>
      <c r="V12" s="51"/>
      <c r="W12" s="51"/>
      <c r="X12" s="51"/>
      <c r="Y12" s="98"/>
      <c r="Z12" s="44"/>
      <c r="AA12" s="59"/>
      <c r="AB12" s="40"/>
      <c r="AC12" s="44"/>
      <c r="AD12" s="44"/>
      <c r="AE12" s="60"/>
    </row>
    <row r="13" spans="1:33" ht="22.5" customHeight="1" x14ac:dyDescent="0.25">
      <c r="A13" s="116" t="s">
        <v>5</v>
      </c>
      <c r="B13" s="116" t="s">
        <v>6</v>
      </c>
      <c r="C13" s="119" t="s">
        <v>127</v>
      </c>
      <c r="D13" s="116" t="s">
        <v>7</v>
      </c>
      <c r="E13" s="122" t="s">
        <v>252</v>
      </c>
      <c r="F13" s="123"/>
      <c r="G13" s="123"/>
      <c r="H13" s="123"/>
      <c r="I13" s="123"/>
      <c r="J13" s="123"/>
      <c r="K13" s="123"/>
      <c r="L13" s="123"/>
      <c r="M13" s="123"/>
      <c r="N13" s="124"/>
      <c r="O13" s="116" t="s">
        <v>251</v>
      </c>
      <c r="P13" s="116"/>
      <c r="Q13" s="116"/>
      <c r="R13" s="116"/>
      <c r="S13" s="116"/>
      <c r="T13" s="116"/>
      <c r="U13" s="116"/>
      <c r="V13" s="116"/>
      <c r="W13" s="116"/>
      <c r="X13" s="116"/>
      <c r="Y13" s="119" t="s">
        <v>8</v>
      </c>
      <c r="Z13" s="116" t="s">
        <v>9</v>
      </c>
      <c r="AA13" s="116" t="s">
        <v>10</v>
      </c>
      <c r="AB13" s="116"/>
      <c r="AC13" s="116"/>
      <c r="AD13" s="116"/>
      <c r="AE13" s="116" t="s">
        <v>11</v>
      </c>
    </row>
    <row r="14" spans="1:33" ht="24" customHeight="1" x14ac:dyDescent="0.25">
      <c r="A14" s="116"/>
      <c r="B14" s="116"/>
      <c r="C14" s="125"/>
      <c r="D14" s="116"/>
      <c r="E14" s="122" t="s">
        <v>12</v>
      </c>
      <c r="F14" s="123"/>
      <c r="G14" s="123"/>
      <c r="H14" s="123"/>
      <c r="I14" s="123"/>
      <c r="J14" s="123"/>
      <c r="K14" s="123"/>
      <c r="L14" s="123"/>
      <c r="M14" s="123"/>
      <c r="N14" s="124"/>
      <c r="O14" s="126" t="s">
        <v>12</v>
      </c>
      <c r="P14" s="127"/>
      <c r="Q14" s="127"/>
      <c r="R14" s="127"/>
      <c r="S14" s="127"/>
      <c r="T14" s="127"/>
      <c r="U14" s="127"/>
      <c r="V14" s="127"/>
      <c r="W14" s="127"/>
      <c r="X14" s="128"/>
      <c r="Y14" s="120"/>
      <c r="Z14" s="116"/>
      <c r="AA14" s="121" t="s">
        <v>13</v>
      </c>
      <c r="AB14" s="116" t="s">
        <v>14</v>
      </c>
      <c r="AC14" s="116" t="s">
        <v>15</v>
      </c>
      <c r="AD14" s="116"/>
      <c r="AE14" s="116"/>
    </row>
    <row r="15" spans="1:33" ht="78.75" x14ac:dyDescent="0.25">
      <c r="A15" s="116"/>
      <c r="B15" s="116"/>
      <c r="C15" s="120"/>
      <c r="D15" s="116"/>
      <c r="E15" s="111" t="s">
        <v>120</v>
      </c>
      <c r="F15" s="111" t="s">
        <v>123</v>
      </c>
      <c r="G15" s="111" t="s">
        <v>124</v>
      </c>
      <c r="H15" s="111" t="s">
        <v>125</v>
      </c>
      <c r="I15" s="111" t="s">
        <v>126</v>
      </c>
      <c r="J15" s="111" t="s">
        <v>16</v>
      </c>
      <c r="K15" s="113" t="s">
        <v>123</v>
      </c>
      <c r="L15" s="111" t="s">
        <v>124</v>
      </c>
      <c r="M15" s="111" t="s">
        <v>125</v>
      </c>
      <c r="N15" s="111" t="s">
        <v>126</v>
      </c>
      <c r="O15" s="111" t="s">
        <v>120</v>
      </c>
      <c r="P15" s="111" t="s">
        <v>123</v>
      </c>
      <c r="Q15" s="111" t="s">
        <v>124</v>
      </c>
      <c r="R15" s="111" t="s">
        <v>125</v>
      </c>
      <c r="S15" s="111" t="s">
        <v>126</v>
      </c>
      <c r="T15" s="111" t="s">
        <v>16</v>
      </c>
      <c r="U15" s="111" t="s">
        <v>123</v>
      </c>
      <c r="V15" s="111" t="s">
        <v>124</v>
      </c>
      <c r="W15" s="111" t="s">
        <v>125</v>
      </c>
      <c r="X15" s="111" t="s">
        <v>126</v>
      </c>
      <c r="Y15" s="99" t="s">
        <v>17</v>
      </c>
      <c r="Z15" s="116"/>
      <c r="AA15" s="121"/>
      <c r="AB15" s="116"/>
      <c r="AC15" s="104" t="s">
        <v>18</v>
      </c>
      <c r="AD15" s="104" t="s">
        <v>19</v>
      </c>
      <c r="AE15" s="116"/>
    </row>
    <row r="16" spans="1:33" ht="15.75" x14ac:dyDescent="0.25">
      <c r="A16" s="41">
        <v>1</v>
      </c>
      <c r="B16" s="41">
        <v>2</v>
      </c>
      <c r="C16" s="41"/>
      <c r="D16" s="41">
        <v>3</v>
      </c>
      <c r="E16" s="87">
        <v>4</v>
      </c>
      <c r="F16" s="41"/>
      <c r="G16" s="41"/>
      <c r="H16" s="41"/>
      <c r="I16" s="41"/>
      <c r="J16" s="41">
        <v>5</v>
      </c>
      <c r="K16" s="101"/>
      <c r="L16" s="41"/>
      <c r="M16" s="41"/>
      <c r="N16" s="41"/>
      <c r="O16" s="41"/>
      <c r="P16" s="41"/>
      <c r="Q16" s="41"/>
      <c r="R16" s="41"/>
      <c r="S16" s="41"/>
      <c r="T16" s="41">
        <v>6</v>
      </c>
      <c r="U16" s="101"/>
      <c r="V16" s="41"/>
      <c r="W16" s="41"/>
      <c r="X16" s="41"/>
      <c r="Y16" s="87">
        <v>7</v>
      </c>
      <c r="Z16" s="41">
        <v>8</v>
      </c>
      <c r="AA16" s="41">
        <v>9</v>
      </c>
      <c r="AB16" s="41">
        <v>10</v>
      </c>
      <c r="AC16" s="41">
        <v>11</v>
      </c>
      <c r="AD16" s="41">
        <v>12</v>
      </c>
      <c r="AE16" s="41">
        <v>13</v>
      </c>
      <c r="AG16" s="43"/>
    </row>
    <row r="17" spans="1:33" ht="15.75" x14ac:dyDescent="0.25">
      <c r="A17" s="61" t="s">
        <v>28</v>
      </c>
      <c r="B17" s="62" t="s">
        <v>34</v>
      </c>
      <c r="C17" s="62" t="s">
        <v>139</v>
      </c>
      <c r="D17" s="2">
        <f>D25</f>
        <v>6186.2819172276768</v>
      </c>
      <c r="E17" s="88">
        <f>E25</f>
        <v>2455.6683656303999</v>
      </c>
      <c r="F17" s="2"/>
      <c r="G17" s="2"/>
      <c r="H17" s="2"/>
      <c r="I17" s="2">
        <f>E17</f>
        <v>2455.6683656303999</v>
      </c>
      <c r="J17" s="2">
        <f>J25</f>
        <v>1255.2494475979997</v>
      </c>
      <c r="K17" s="100">
        <f t="shared" ref="K17:N17" si="0">K25</f>
        <v>108.574012438</v>
      </c>
      <c r="L17" s="2">
        <f t="shared" si="0"/>
        <v>354.60884858999998</v>
      </c>
      <c r="M17" s="2">
        <f t="shared" si="0"/>
        <v>794.56566072999988</v>
      </c>
      <c r="N17" s="2">
        <f t="shared" si="0"/>
        <v>0</v>
      </c>
      <c r="O17" s="2">
        <f>O25</f>
        <v>3615.9121704549329</v>
      </c>
      <c r="P17" s="2"/>
      <c r="Q17" s="2"/>
      <c r="R17" s="2"/>
      <c r="S17" s="2">
        <f>O17</f>
        <v>3615.9121704549329</v>
      </c>
      <c r="T17" s="2">
        <f>T25</f>
        <v>1841.4477291100002</v>
      </c>
      <c r="U17" s="100">
        <f t="shared" ref="U17:X17" si="1">U25</f>
        <v>153.28716395999999</v>
      </c>
      <c r="V17" s="2">
        <f t="shared" si="1"/>
        <v>575.70220088999997</v>
      </c>
      <c r="W17" s="2">
        <f t="shared" si="1"/>
        <v>1112.4583642600001</v>
      </c>
      <c r="X17" s="2">
        <f t="shared" si="1"/>
        <v>0</v>
      </c>
      <c r="Y17" s="100">
        <f>Y22</f>
        <v>32.430992910000001</v>
      </c>
      <c r="Z17" s="2">
        <f>Z25</f>
        <v>1202.9728990763999</v>
      </c>
      <c r="AA17" s="2">
        <f>J17-E17</f>
        <v>-1200.4189180324001</v>
      </c>
      <c r="AB17" s="52">
        <f t="shared" ref="AB17:AB57" si="2">AA17/E17</f>
        <v>-0.48883592541790066</v>
      </c>
      <c r="AC17" s="63"/>
      <c r="AD17" s="64"/>
      <c r="AE17" s="65"/>
    </row>
    <row r="18" spans="1:33" ht="15.75" hidden="1" x14ac:dyDescent="0.25">
      <c r="A18" s="61" t="s">
        <v>72</v>
      </c>
      <c r="B18" s="66" t="s">
        <v>35</v>
      </c>
      <c r="C18" s="62" t="s">
        <v>139</v>
      </c>
      <c r="D18" s="2"/>
      <c r="E18" s="88"/>
      <c r="F18" s="2"/>
      <c r="G18" s="2"/>
      <c r="H18" s="2"/>
      <c r="I18" s="2">
        <f t="shared" ref="I18:I82" si="3">E18</f>
        <v>0</v>
      </c>
      <c r="J18" s="2"/>
      <c r="K18" s="100"/>
      <c r="L18" s="2"/>
      <c r="M18" s="2"/>
      <c r="N18" s="2"/>
      <c r="O18" s="2"/>
      <c r="P18" s="2"/>
      <c r="Q18" s="2"/>
      <c r="R18" s="2"/>
      <c r="S18" s="2">
        <f t="shared" ref="S18:S82" si="4">O18</f>
        <v>0</v>
      </c>
      <c r="T18" s="2"/>
      <c r="U18" s="100"/>
      <c r="V18" s="2"/>
      <c r="W18" s="2"/>
      <c r="X18" s="2"/>
      <c r="Y18" s="100"/>
      <c r="Z18" s="2"/>
      <c r="AA18" s="2">
        <f t="shared" ref="AA18:AA41" si="5">J18-E18</f>
        <v>0</v>
      </c>
      <c r="AB18" s="52" t="e">
        <f t="shared" si="2"/>
        <v>#DIV/0!</v>
      </c>
      <c r="AC18" s="67"/>
      <c r="AD18" s="67"/>
      <c r="AE18" s="65"/>
    </row>
    <row r="19" spans="1:33" ht="15.75" hidden="1" x14ac:dyDescent="0.25">
      <c r="A19" s="61" t="s">
        <v>73</v>
      </c>
      <c r="B19" s="66" t="s">
        <v>36</v>
      </c>
      <c r="C19" s="62" t="s">
        <v>139</v>
      </c>
      <c r="D19" s="2"/>
      <c r="E19" s="88"/>
      <c r="F19" s="2"/>
      <c r="G19" s="2"/>
      <c r="H19" s="2"/>
      <c r="I19" s="2">
        <f t="shared" si="3"/>
        <v>0</v>
      </c>
      <c r="J19" s="2"/>
      <c r="K19" s="100"/>
      <c r="L19" s="2"/>
      <c r="M19" s="2"/>
      <c r="N19" s="2"/>
      <c r="O19" s="2"/>
      <c r="P19" s="2"/>
      <c r="Q19" s="2"/>
      <c r="R19" s="2"/>
      <c r="S19" s="2">
        <f t="shared" si="4"/>
        <v>0</v>
      </c>
      <c r="T19" s="2"/>
      <c r="U19" s="100"/>
      <c r="V19" s="2"/>
      <c r="W19" s="2"/>
      <c r="X19" s="2"/>
      <c r="Y19" s="100"/>
      <c r="Z19" s="2"/>
      <c r="AA19" s="2">
        <f t="shared" si="5"/>
        <v>0</v>
      </c>
      <c r="AB19" s="52" t="e">
        <f t="shared" si="2"/>
        <v>#DIV/0!</v>
      </c>
      <c r="AC19" s="67"/>
      <c r="AD19" s="67"/>
      <c r="AE19" s="2"/>
      <c r="AG19" s="68"/>
    </row>
    <row r="20" spans="1:33" ht="15.75" x14ac:dyDescent="0.25">
      <c r="A20" s="61" t="s">
        <v>74</v>
      </c>
      <c r="B20" s="62" t="s">
        <v>37</v>
      </c>
      <c r="C20" s="62" t="s">
        <v>139</v>
      </c>
      <c r="D20" s="2">
        <f>D41</f>
        <v>916.42118844000004</v>
      </c>
      <c r="E20" s="88">
        <f>E41</f>
        <v>31.363634015999999</v>
      </c>
      <c r="F20" s="2"/>
      <c r="G20" s="2"/>
      <c r="H20" s="2"/>
      <c r="I20" s="2">
        <f t="shared" si="3"/>
        <v>31.363634015999999</v>
      </c>
      <c r="J20" s="2">
        <f>J41</f>
        <v>35.599075188</v>
      </c>
      <c r="K20" s="100">
        <f t="shared" ref="K20:N20" si="6">K41</f>
        <v>29.843781298</v>
      </c>
      <c r="L20" s="2">
        <f t="shared" si="6"/>
        <v>5.5232938900000006</v>
      </c>
      <c r="M20" s="2">
        <f t="shared" si="6"/>
        <v>2.7310741600000004</v>
      </c>
      <c r="N20" s="2">
        <f t="shared" si="6"/>
        <v>0</v>
      </c>
      <c r="O20" s="2">
        <f>O41</f>
        <v>26.13636168</v>
      </c>
      <c r="P20" s="2"/>
      <c r="Q20" s="2"/>
      <c r="R20" s="2"/>
      <c r="S20" s="2">
        <f t="shared" si="4"/>
        <v>26.13636168</v>
      </c>
      <c r="T20" s="2">
        <f>T41</f>
        <v>35.497416610000002</v>
      </c>
      <c r="U20" s="100">
        <f t="shared" ref="U20:X20" si="7">U41</f>
        <v>26.164707760000006</v>
      </c>
      <c r="V20" s="2">
        <f t="shared" si="7"/>
        <v>4.8750585900000001</v>
      </c>
      <c r="W20" s="2">
        <f t="shared" si="7"/>
        <v>4.4576502599999985</v>
      </c>
      <c r="X20" s="2">
        <f t="shared" si="7"/>
        <v>0</v>
      </c>
      <c r="Y20" s="100"/>
      <c r="Z20" s="2">
        <f>Z41</f>
        <v>-1.6814601279999999</v>
      </c>
      <c r="AA20" s="2">
        <f>J20-E20</f>
        <v>4.2354411720000016</v>
      </c>
      <c r="AB20" s="52">
        <f t="shared" si="2"/>
        <v>0.13504306196913637</v>
      </c>
      <c r="AC20" s="67"/>
      <c r="AD20" s="67"/>
      <c r="AE20" s="65"/>
    </row>
    <row r="21" spans="1:33" ht="31.5" hidden="1" x14ac:dyDescent="0.25">
      <c r="A21" s="61" t="s">
        <v>75</v>
      </c>
      <c r="B21" s="66" t="s">
        <v>38</v>
      </c>
      <c r="C21" s="62" t="s">
        <v>139</v>
      </c>
      <c r="D21" s="2"/>
      <c r="E21" s="88"/>
      <c r="F21" s="2"/>
      <c r="G21" s="2"/>
      <c r="H21" s="2"/>
      <c r="I21" s="2">
        <f t="shared" si="3"/>
        <v>0</v>
      </c>
      <c r="J21" s="2"/>
      <c r="K21" s="100"/>
      <c r="L21" s="2"/>
      <c r="M21" s="2"/>
      <c r="N21" s="2"/>
      <c r="O21" s="2"/>
      <c r="P21" s="2"/>
      <c r="Q21" s="2"/>
      <c r="R21" s="2"/>
      <c r="S21" s="2">
        <f t="shared" si="4"/>
        <v>0</v>
      </c>
      <c r="T21" s="2"/>
      <c r="U21" s="100"/>
      <c r="V21" s="2"/>
      <c r="W21" s="2"/>
      <c r="X21" s="2"/>
      <c r="Y21" s="100"/>
      <c r="Z21" s="2"/>
      <c r="AA21" s="2">
        <f t="shared" si="5"/>
        <v>0</v>
      </c>
      <c r="AB21" s="52" t="e">
        <f t="shared" si="2"/>
        <v>#DIV/0!</v>
      </c>
      <c r="AC21" s="67"/>
      <c r="AD21" s="67"/>
      <c r="AE21" s="65"/>
    </row>
    <row r="22" spans="1:33" ht="18" customHeight="1" x14ac:dyDescent="0.25">
      <c r="A22" s="61" t="s">
        <v>76</v>
      </c>
      <c r="B22" s="62" t="s">
        <v>39</v>
      </c>
      <c r="C22" s="62" t="s">
        <v>139</v>
      </c>
      <c r="D22" s="2">
        <f>D66</f>
        <v>5258.8289576723682</v>
      </c>
      <c r="E22" s="88">
        <f>E66</f>
        <v>2422.3513800299997</v>
      </c>
      <c r="F22" s="2"/>
      <c r="G22" s="2"/>
      <c r="H22" s="2"/>
      <c r="I22" s="2">
        <f t="shared" si="3"/>
        <v>2422.3513800299997</v>
      </c>
      <c r="J22" s="2">
        <f>J66</f>
        <v>1166.5877445279998</v>
      </c>
      <c r="K22" s="100">
        <f t="shared" ref="K22:N22" si="8">K66</f>
        <v>46.700242278000005</v>
      </c>
      <c r="L22" s="2">
        <f t="shared" si="8"/>
        <v>344.32466549999998</v>
      </c>
      <c r="M22" s="2">
        <f t="shared" si="8"/>
        <v>775.56283674999986</v>
      </c>
      <c r="N22" s="2">
        <f t="shared" si="8"/>
        <v>0</v>
      </c>
      <c r="O22" s="2">
        <f>O66</f>
        <v>3588.1480157879332</v>
      </c>
      <c r="P22" s="2"/>
      <c r="Q22" s="2"/>
      <c r="R22" s="2"/>
      <c r="S22" s="2">
        <f t="shared" si="4"/>
        <v>3588.1480157879332</v>
      </c>
      <c r="T22" s="2">
        <f>T66</f>
        <v>1743.56048661</v>
      </c>
      <c r="U22" s="100">
        <f t="shared" ref="U22:X22" si="9">U66</f>
        <v>102.43172956999999</v>
      </c>
      <c r="V22" s="2">
        <f t="shared" si="9"/>
        <v>549.77260081999998</v>
      </c>
      <c r="W22" s="2">
        <f t="shared" si="9"/>
        <v>1091.35615622</v>
      </c>
      <c r="X22" s="2">
        <f t="shared" si="9"/>
        <v>0</v>
      </c>
      <c r="Y22" s="100">
        <f>Y25</f>
        <v>32.430992910000001</v>
      </c>
      <c r="Z22" s="2">
        <f>Z66</f>
        <v>1255.7636355019999</v>
      </c>
      <c r="AA22" s="2">
        <f t="shared" si="5"/>
        <v>-1255.7636355019999</v>
      </c>
      <c r="AB22" s="52">
        <f t="shared" si="2"/>
        <v>-0.51840688591035367</v>
      </c>
      <c r="AC22" s="67"/>
      <c r="AD22" s="67"/>
      <c r="AE22" s="65"/>
    </row>
    <row r="23" spans="1:33" ht="16.5" hidden="1" customHeight="1" x14ac:dyDescent="0.25">
      <c r="A23" s="61" t="s">
        <v>77</v>
      </c>
      <c r="B23" s="66" t="s">
        <v>40</v>
      </c>
      <c r="C23" s="62" t="s">
        <v>139</v>
      </c>
      <c r="D23" s="2"/>
      <c r="E23" s="88"/>
      <c r="F23" s="2"/>
      <c r="G23" s="2"/>
      <c r="H23" s="2"/>
      <c r="I23" s="2">
        <f t="shared" si="3"/>
        <v>0</v>
      </c>
      <c r="J23" s="2"/>
      <c r="K23" s="100"/>
      <c r="L23" s="2"/>
      <c r="M23" s="2"/>
      <c r="N23" s="2"/>
      <c r="O23" s="2"/>
      <c r="P23" s="2"/>
      <c r="Q23" s="2"/>
      <c r="R23" s="2"/>
      <c r="S23" s="2">
        <f t="shared" si="4"/>
        <v>0</v>
      </c>
      <c r="T23" s="2"/>
      <c r="U23" s="100"/>
      <c r="V23" s="2"/>
      <c r="W23" s="2"/>
      <c r="X23" s="2"/>
      <c r="Y23" s="100"/>
      <c r="Z23" s="2"/>
      <c r="AA23" s="2">
        <f t="shared" si="5"/>
        <v>0</v>
      </c>
      <c r="AB23" s="52" t="e">
        <f t="shared" si="2"/>
        <v>#DIV/0!</v>
      </c>
      <c r="AC23" s="67"/>
      <c r="AD23" s="67"/>
      <c r="AE23" s="65"/>
    </row>
    <row r="24" spans="1:33" ht="16.5" customHeight="1" x14ac:dyDescent="0.25">
      <c r="A24" s="61" t="s">
        <v>78</v>
      </c>
      <c r="B24" s="62" t="s">
        <v>41</v>
      </c>
      <c r="C24" s="62" t="s">
        <v>139</v>
      </c>
      <c r="D24" s="2">
        <f>D75</f>
        <v>11.031771115308</v>
      </c>
      <c r="E24" s="88">
        <f>E75</f>
        <v>1.9533515843999998</v>
      </c>
      <c r="F24" s="2">
        <f t="shared" ref="F24:AA24" si="10">F75</f>
        <v>0</v>
      </c>
      <c r="G24" s="2">
        <f t="shared" si="10"/>
        <v>0</v>
      </c>
      <c r="H24" s="2">
        <f t="shared" si="10"/>
        <v>0</v>
      </c>
      <c r="I24" s="2">
        <f t="shared" si="3"/>
        <v>1.9533515843999998</v>
      </c>
      <c r="J24" s="2">
        <f t="shared" si="10"/>
        <v>53.062627881999973</v>
      </c>
      <c r="K24" s="100">
        <f t="shared" si="10"/>
        <v>32.029988862000003</v>
      </c>
      <c r="L24" s="2">
        <f t="shared" si="10"/>
        <v>4.7608892000000003</v>
      </c>
      <c r="M24" s="2">
        <f t="shared" si="10"/>
        <v>16.271749819999972</v>
      </c>
      <c r="N24" s="2">
        <f t="shared" si="10"/>
        <v>0</v>
      </c>
      <c r="O24" s="2">
        <f t="shared" si="10"/>
        <v>1.6277929869999999</v>
      </c>
      <c r="P24" s="2">
        <f t="shared" si="10"/>
        <v>0</v>
      </c>
      <c r="Q24" s="2">
        <f t="shared" si="10"/>
        <v>0</v>
      </c>
      <c r="R24" s="2">
        <f t="shared" si="10"/>
        <v>0</v>
      </c>
      <c r="S24" s="2">
        <f t="shared" si="4"/>
        <v>1.6277929869999999</v>
      </c>
      <c r="T24" s="2">
        <f t="shared" si="10"/>
        <v>62.389825889999997</v>
      </c>
      <c r="U24" s="100">
        <f t="shared" si="10"/>
        <v>24.690726629999997</v>
      </c>
      <c r="V24" s="2">
        <f t="shared" si="10"/>
        <v>21.054541480000001</v>
      </c>
      <c r="W24" s="2">
        <f t="shared" si="10"/>
        <v>16.64455778</v>
      </c>
      <c r="X24" s="2">
        <f t="shared" si="10"/>
        <v>0</v>
      </c>
      <c r="Y24" s="100">
        <f t="shared" si="10"/>
        <v>32.430992910000001</v>
      </c>
      <c r="Z24" s="2">
        <f t="shared" si="10"/>
        <v>-51.109276297599976</v>
      </c>
      <c r="AA24" s="2">
        <f t="shared" si="10"/>
        <v>51.109276297599976</v>
      </c>
      <c r="AB24" s="52">
        <f t="shared" si="2"/>
        <v>26.16491404096049</v>
      </c>
      <c r="AC24" s="67"/>
      <c r="AD24" s="67"/>
      <c r="AE24" s="65"/>
    </row>
    <row r="25" spans="1:33" ht="24" customHeight="1" x14ac:dyDescent="0.25">
      <c r="A25" s="61" t="s">
        <v>33</v>
      </c>
      <c r="B25" s="62" t="s">
        <v>42</v>
      </c>
      <c r="C25" s="62" t="s">
        <v>139</v>
      </c>
      <c r="D25" s="2">
        <f>D66+D75+D41</f>
        <v>6186.2819172276768</v>
      </c>
      <c r="E25" s="88">
        <f>E66+E75+E41</f>
        <v>2455.6683656303999</v>
      </c>
      <c r="F25" s="2"/>
      <c r="G25" s="2"/>
      <c r="H25" s="2"/>
      <c r="I25" s="2">
        <f t="shared" si="3"/>
        <v>2455.6683656303999</v>
      </c>
      <c r="J25" s="2">
        <f t="shared" ref="J25:O25" si="11">J66+J75+J41</f>
        <v>1255.2494475979997</v>
      </c>
      <c r="K25" s="100">
        <f t="shared" si="11"/>
        <v>108.574012438</v>
      </c>
      <c r="L25" s="2">
        <f t="shared" si="11"/>
        <v>354.60884858999998</v>
      </c>
      <c r="M25" s="2">
        <f t="shared" si="11"/>
        <v>794.56566072999988</v>
      </c>
      <c r="N25" s="2">
        <f t="shared" si="11"/>
        <v>0</v>
      </c>
      <c r="O25" s="2">
        <f t="shared" si="11"/>
        <v>3615.9121704549329</v>
      </c>
      <c r="P25" s="2"/>
      <c r="Q25" s="2"/>
      <c r="R25" s="2"/>
      <c r="S25" s="2">
        <f t="shared" si="4"/>
        <v>3615.9121704549329</v>
      </c>
      <c r="T25" s="2">
        <f>T66+T75+T41</f>
        <v>1841.4477291100002</v>
      </c>
      <c r="U25" s="100">
        <f>U66+U75+U41</f>
        <v>153.28716395999999</v>
      </c>
      <c r="V25" s="2">
        <f>V66+V75+V41</f>
        <v>575.70220088999997</v>
      </c>
      <c r="W25" s="2">
        <f>W66+W75+W41</f>
        <v>1112.4583642600001</v>
      </c>
      <c r="X25" s="2">
        <f>X66+X75+X41</f>
        <v>0</v>
      </c>
      <c r="Y25" s="100">
        <f>Y66+Y75</f>
        <v>32.430992910000001</v>
      </c>
      <c r="Z25" s="2">
        <f>Z66+Z75+Z41</f>
        <v>1202.9728990763999</v>
      </c>
      <c r="AA25" s="2">
        <f t="shared" si="5"/>
        <v>-1200.4189180324001</v>
      </c>
      <c r="AB25" s="52">
        <f t="shared" si="2"/>
        <v>-0.48883592541790066</v>
      </c>
      <c r="AC25" s="67"/>
      <c r="AD25" s="67"/>
      <c r="AE25" s="65"/>
    </row>
    <row r="26" spans="1:33" ht="66.75" hidden="1" customHeight="1" x14ac:dyDescent="0.25">
      <c r="A26" s="61" t="s">
        <v>20</v>
      </c>
      <c r="B26" s="62" t="s">
        <v>43</v>
      </c>
      <c r="C26" s="62" t="s">
        <v>139</v>
      </c>
      <c r="D26" s="3"/>
      <c r="E26" s="89"/>
      <c r="F26" s="3"/>
      <c r="G26" s="3"/>
      <c r="H26" s="3"/>
      <c r="I26" s="2">
        <f t="shared" si="3"/>
        <v>0</v>
      </c>
      <c r="J26" s="3"/>
      <c r="K26" s="101"/>
      <c r="L26" s="3"/>
      <c r="M26" s="3"/>
      <c r="N26" s="3"/>
      <c r="O26" s="3"/>
      <c r="P26" s="3"/>
      <c r="Q26" s="3"/>
      <c r="R26" s="3"/>
      <c r="S26" s="2">
        <f t="shared" si="4"/>
        <v>0</v>
      </c>
      <c r="T26" s="3"/>
      <c r="U26" s="101"/>
      <c r="V26" s="3"/>
      <c r="W26" s="3"/>
      <c r="X26" s="3"/>
      <c r="Y26" s="101"/>
      <c r="Z26" s="2"/>
      <c r="AA26" s="2">
        <f t="shared" si="5"/>
        <v>0</v>
      </c>
      <c r="AB26" s="52" t="e">
        <f t="shared" si="2"/>
        <v>#DIV/0!</v>
      </c>
      <c r="AC26" s="67"/>
      <c r="AD26" s="67"/>
      <c r="AE26" s="65"/>
    </row>
    <row r="27" spans="1:33" ht="66.75" hidden="1" customHeight="1" x14ac:dyDescent="0.25">
      <c r="A27" s="61" t="s">
        <v>79</v>
      </c>
      <c r="B27" s="62" t="s">
        <v>44</v>
      </c>
      <c r="C27" s="62" t="s">
        <v>139</v>
      </c>
      <c r="D27" s="3"/>
      <c r="E27" s="89"/>
      <c r="F27" s="3"/>
      <c r="G27" s="3"/>
      <c r="H27" s="3"/>
      <c r="I27" s="2">
        <f t="shared" si="3"/>
        <v>0</v>
      </c>
      <c r="J27" s="3"/>
      <c r="K27" s="101"/>
      <c r="L27" s="3"/>
      <c r="M27" s="3"/>
      <c r="N27" s="3"/>
      <c r="O27" s="3"/>
      <c r="P27" s="3"/>
      <c r="Q27" s="3"/>
      <c r="R27" s="3"/>
      <c r="S27" s="2">
        <f t="shared" si="4"/>
        <v>0</v>
      </c>
      <c r="T27" s="3"/>
      <c r="U27" s="101"/>
      <c r="V27" s="3"/>
      <c r="W27" s="3"/>
      <c r="X27" s="3"/>
      <c r="Y27" s="101"/>
      <c r="Z27" s="2"/>
      <c r="AA27" s="2">
        <f t="shared" si="5"/>
        <v>0</v>
      </c>
      <c r="AB27" s="52" t="e">
        <f t="shared" si="2"/>
        <v>#DIV/0!</v>
      </c>
      <c r="AC27" s="67"/>
      <c r="AD27" s="67"/>
      <c r="AE27" s="65"/>
    </row>
    <row r="28" spans="1:33" ht="66.75" hidden="1" customHeight="1" x14ac:dyDescent="0.25">
      <c r="A28" s="61" t="s">
        <v>80</v>
      </c>
      <c r="B28" s="62" t="s">
        <v>45</v>
      </c>
      <c r="C28" s="62" t="s">
        <v>139</v>
      </c>
      <c r="D28" s="3"/>
      <c r="E28" s="89"/>
      <c r="F28" s="3"/>
      <c r="G28" s="3"/>
      <c r="H28" s="3"/>
      <c r="I28" s="2">
        <f t="shared" si="3"/>
        <v>0</v>
      </c>
      <c r="J28" s="3"/>
      <c r="K28" s="101"/>
      <c r="L28" s="3"/>
      <c r="M28" s="3"/>
      <c r="N28" s="3"/>
      <c r="O28" s="3"/>
      <c r="P28" s="3"/>
      <c r="Q28" s="3"/>
      <c r="R28" s="3"/>
      <c r="S28" s="2">
        <f t="shared" si="4"/>
        <v>0</v>
      </c>
      <c r="T28" s="3"/>
      <c r="U28" s="101"/>
      <c r="V28" s="3"/>
      <c r="W28" s="3"/>
      <c r="X28" s="3"/>
      <c r="Y28" s="101"/>
      <c r="Z28" s="2"/>
      <c r="AA28" s="2">
        <f t="shared" si="5"/>
        <v>0</v>
      </c>
      <c r="AB28" s="52" t="e">
        <f t="shared" si="2"/>
        <v>#DIV/0!</v>
      </c>
      <c r="AC28" s="67"/>
      <c r="AD28" s="67"/>
      <c r="AE28" s="65"/>
    </row>
    <row r="29" spans="1:33" ht="66.75" hidden="1" customHeight="1" x14ac:dyDescent="0.25">
      <c r="A29" s="61" t="s">
        <v>81</v>
      </c>
      <c r="B29" s="62" t="s">
        <v>46</v>
      </c>
      <c r="C29" s="62" t="s">
        <v>139</v>
      </c>
      <c r="D29" s="3"/>
      <c r="E29" s="89"/>
      <c r="F29" s="3"/>
      <c r="G29" s="3"/>
      <c r="H29" s="3"/>
      <c r="I29" s="2">
        <f t="shared" si="3"/>
        <v>0</v>
      </c>
      <c r="J29" s="3"/>
      <c r="K29" s="101"/>
      <c r="L29" s="3"/>
      <c r="M29" s="3"/>
      <c r="N29" s="3"/>
      <c r="O29" s="3"/>
      <c r="P29" s="3"/>
      <c r="Q29" s="3"/>
      <c r="R29" s="3"/>
      <c r="S29" s="2">
        <f t="shared" si="4"/>
        <v>0</v>
      </c>
      <c r="T29" s="3"/>
      <c r="U29" s="101"/>
      <c r="V29" s="3"/>
      <c r="W29" s="3"/>
      <c r="X29" s="3"/>
      <c r="Y29" s="101"/>
      <c r="Z29" s="2"/>
      <c r="AA29" s="2">
        <f t="shared" si="5"/>
        <v>0</v>
      </c>
      <c r="AB29" s="52" t="e">
        <f t="shared" si="2"/>
        <v>#DIV/0!</v>
      </c>
      <c r="AC29" s="67"/>
      <c r="AD29" s="67"/>
      <c r="AE29" s="65"/>
    </row>
    <row r="30" spans="1:33" ht="66.75" hidden="1" customHeight="1" x14ac:dyDescent="0.25">
      <c r="A30" s="61" t="s">
        <v>82</v>
      </c>
      <c r="B30" s="62" t="s">
        <v>47</v>
      </c>
      <c r="C30" s="62" t="s">
        <v>139</v>
      </c>
      <c r="D30" s="3"/>
      <c r="E30" s="89"/>
      <c r="F30" s="3"/>
      <c r="G30" s="3"/>
      <c r="H30" s="3"/>
      <c r="I30" s="2">
        <f t="shared" si="3"/>
        <v>0</v>
      </c>
      <c r="J30" s="3"/>
      <c r="K30" s="101"/>
      <c r="L30" s="3"/>
      <c r="M30" s="3"/>
      <c r="N30" s="3"/>
      <c r="O30" s="3"/>
      <c r="P30" s="3"/>
      <c r="Q30" s="3"/>
      <c r="R30" s="3"/>
      <c r="S30" s="2">
        <f t="shared" si="4"/>
        <v>0</v>
      </c>
      <c r="T30" s="3"/>
      <c r="U30" s="101"/>
      <c r="V30" s="3"/>
      <c r="W30" s="3"/>
      <c r="X30" s="3"/>
      <c r="Y30" s="101"/>
      <c r="Z30" s="2"/>
      <c r="AA30" s="2">
        <f t="shared" si="5"/>
        <v>0</v>
      </c>
      <c r="AB30" s="52" t="e">
        <f t="shared" si="2"/>
        <v>#DIV/0!</v>
      </c>
      <c r="AC30" s="67"/>
      <c r="AD30" s="67"/>
      <c r="AE30" s="65"/>
    </row>
    <row r="31" spans="1:33" ht="66.75" hidden="1" customHeight="1" x14ac:dyDescent="0.25">
      <c r="A31" s="61" t="s">
        <v>83</v>
      </c>
      <c r="B31" s="62" t="s">
        <v>48</v>
      </c>
      <c r="C31" s="62" t="s">
        <v>139</v>
      </c>
      <c r="D31" s="3"/>
      <c r="E31" s="89"/>
      <c r="F31" s="3"/>
      <c r="G31" s="3"/>
      <c r="H31" s="3"/>
      <c r="I31" s="2">
        <f t="shared" si="3"/>
        <v>0</v>
      </c>
      <c r="J31" s="3"/>
      <c r="K31" s="101"/>
      <c r="L31" s="3"/>
      <c r="M31" s="3"/>
      <c r="N31" s="3"/>
      <c r="O31" s="3"/>
      <c r="P31" s="3"/>
      <c r="Q31" s="3"/>
      <c r="R31" s="3"/>
      <c r="S31" s="2">
        <f t="shared" si="4"/>
        <v>0</v>
      </c>
      <c r="T31" s="3"/>
      <c r="U31" s="101"/>
      <c r="V31" s="3"/>
      <c r="W31" s="3"/>
      <c r="X31" s="3"/>
      <c r="Y31" s="101"/>
      <c r="Z31" s="2"/>
      <c r="AA31" s="2">
        <f t="shared" si="5"/>
        <v>0</v>
      </c>
      <c r="AB31" s="52" t="e">
        <f t="shared" si="2"/>
        <v>#DIV/0!</v>
      </c>
      <c r="AC31" s="67"/>
      <c r="AD31" s="67"/>
      <c r="AE31" s="65"/>
    </row>
    <row r="32" spans="1:33" ht="66.75" hidden="1" customHeight="1" x14ac:dyDescent="0.25">
      <c r="A32" s="61" t="s">
        <v>84</v>
      </c>
      <c r="B32" s="62" t="s">
        <v>49</v>
      </c>
      <c r="C32" s="62" t="s">
        <v>139</v>
      </c>
      <c r="D32" s="3"/>
      <c r="E32" s="89"/>
      <c r="F32" s="3"/>
      <c r="G32" s="3"/>
      <c r="H32" s="3"/>
      <c r="I32" s="2">
        <f t="shared" si="3"/>
        <v>0</v>
      </c>
      <c r="J32" s="3"/>
      <c r="K32" s="101"/>
      <c r="L32" s="3"/>
      <c r="M32" s="3"/>
      <c r="N32" s="3"/>
      <c r="O32" s="3"/>
      <c r="P32" s="3"/>
      <c r="Q32" s="3"/>
      <c r="R32" s="3"/>
      <c r="S32" s="2">
        <f t="shared" si="4"/>
        <v>0</v>
      </c>
      <c r="T32" s="3"/>
      <c r="U32" s="101"/>
      <c r="V32" s="3"/>
      <c r="W32" s="3"/>
      <c r="X32" s="3"/>
      <c r="Y32" s="101"/>
      <c r="Z32" s="2"/>
      <c r="AA32" s="2">
        <f t="shared" si="5"/>
        <v>0</v>
      </c>
      <c r="AB32" s="52" t="e">
        <f t="shared" si="2"/>
        <v>#DIV/0!</v>
      </c>
      <c r="AC32" s="67"/>
      <c r="AD32" s="67"/>
      <c r="AE32" s="65"/>
    </row>
    <row r="33" spans="1:132" ht="63" hidden="1" x14ac:dyDescent="0.25">
      <c r="A33" s="61" t="s">
        <v>85</v>
      </c>
      <c r="B33" s="62" t="s">
        <v>50</v>
      </c>
      <c r="C33" s="62" t="s">
        <v>139</v>
      </c>
      <c r="D33" s="3"/>
      <c r="E33" s="89"/>
      <c r="F33" s="3"/>
      <c r="G33" s="3"/>
      <c r="H33" s="3"/>
      <c r="I33" s="2">
        <f t="shared" si="3"/>
        <v>0</v>
      </c>
      <c r="J33" s="3"/>
      <c r="K33" s="101"/>
      <c r="L33" s="3"/>
      <c r="M33" s="3"/>
      <c r="N33" s="3"/>
      <c r="O33" s="3"/>
      <c r="P33" s="3"/>
      <c r="Q33" s="3"/>
      <c r="R33" s="3"/>
      <c r="S33" s="2">
        <f t="shared" si="4"/>
        <v>0</v>
      </c>
      <c r="T33" s="3"/>
      <c r="U33" s="101"/>
      <c r="V33" s="3"/>
      <c r="W33" s="3"/>
      <c r="X33" s="3"/>
      <c r="Y33" s="101"/>
      <c r="Z33" s="2"/>
      <c r="AA33" s="2">
        <f t="shared" si="5"/>
        <v>0</v>
      </c>
      <c r="AB33" s="52" t="e">
        <f t="shared" si="2"/>
        <v>#DIV/0!</v>
      </c>
      <c r="AC33" s="67"/>
      <c r="AD33" s="67"/>
      <c r="AE33" s="65"/>
    </row>
    <row r="34" spans="1:132" ht="63" hidden="1" x14ac:dyDescent="0.25">
      <c r="A34" s="61" t="s">
        <v>86</v>
      </c>
      <c r="B34" s="62" t="s">
        <v>51</v>
      </c>
      <c r="C34" s="62" t="s">
        <v>139</v>
      </c>
      <c r="D34" s="2"/>
      <c r="E34" s="88"/>
      <c r="F34" s="2"/>
      <c r="G34" s="2"/>
      <c r="H34" s="2"/>
      <c r="I34" s="2">
        <f t="shared" si="3"/>
        <v>0</v>
      </c>
      <c r="J34" s="2"/>
      <c r="K34" s="100"/>
      <c r="L34" s="2"/>
      <c r="M34" s="2"/>
      <c r="N34" s="2"/>
      <c r="O34" s="2"/>
      <c r="P34" s="2"/>
      <c r="Q34" s="2"/>
      <c r="R34" s="2"/>
      <c r="S34" s="2">
        <f t="shared" si="4"/>
        <v>0</v>
      </c>
      <c r="T34" s="2"/>
      <c r="U34" s="100"/>
      <c r="V34" s="2"/>
      <c r="W34" s="2"/>
      <c r="X34" s="2"/>
      <c r="Y34" s="100"/>
      <c r="Z34" s="2"/>
      <c r="AA34" s="2">
        <f t="shared" si="5"/>
        <v>0</v>
      </c>
      <c r="AB34" s="52" t="e">
        <f t="shared" si="2"/>
        <v>#DIV/0!</v>
      </c>
      <c r="AC34" s="67"/>
      <c r="AD34" s="67"/>
      <c r="AE34" s="65"/>
    </row>
    <row r="35" spans="1:132" s="69" customFormat="1" ht="31.5" hidden="1" x14ac:dyDescent="0.25">
      <c r="A35" s="61" t="s">
        <v>87</v>
      </c>
      <c r="B35" s="62" t="s">
        <v>52</v>
      </c>
      <c r="C35" s="62" t="s">
        <v>139</v>
      </c>
      <c r="D35" s="3"/>
      <c r="E35" s="89"/>
      <c r="F35" s="3"/>
      <c r="G35" s="3"/>
      <c r="H35" s="3"/>
      <c r="I35" s="2">
        <f t="shared" si="3"/>
        <v>0</v>
      </c>
      <c r="J35" s="3"/>
      <c r="K35" s="101"/>
      <c r="L35" s="3"/>
      <c r="M35" s="3"/>
      <c r="N35" s="3"/>
      <c r="O35" s="3"/>
      <c r="P35" s="3"/>
      <c r="Q35" s="3"/>
      <c r="R35" s="3"/>
      <c r="S35" s="2">
        <f t="shared" si="4"/>
        <v>0</v>
      </c>
      <c r="T35" s="3"/>
      <c r="U35" s="101"/>
      <c r="V35" s="3"/>
      <c r="W35" s="3"/>
      <c r="X35" s="3"/>
      <c r="Y35" s="101"/>
      <c r="Z35" s="2"/>
      <c r="AA35" s="2">
        <f t="shared" si="5"/>
        <v>0</v>
      </c>
      <c r="AB35" s="52" t="e">
        <f t="shared" si="2"/>
        <v>#DIV/0!</v>
      </c>
      <c r="AC35" s="67"/>
      <c r="AD35" s="67"/>
      <c r="AE35" s="65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</row>
    <row r="36" spans="1:132" s="69" customFormat="1" ht="47.25" hidden="1" x14ac:dyDescent="0.25">
      <c r="A36" s="61" t="s">
        <v>88</v>
      </c>
      <c r="B36" s="62" t="s">
        <v>53</v>
      </c>
      <c r="C36" s="62" t="s">
        <v>139</v>
      </c>
      <c r="D36" s="3"/>
      <c r="E36" s="89"/>
      <c r="F36" s="3"/>
      <c r="G36" s="3"/>
      <c r="H36" s="3"/>
      <c r="I36" s="2">
        <f t="shared" si="3"/>
        <v>0</v>
      </c>
      <c r="J36" s="3"/>
      <c r="K36" s="101"/>
      <c r="L36" s="3"/>
      <c r="M36" s="3"/>
      <c r="N36" s="3"/>
      <c r="O36" s="3"/>
      <c r="P36" s="3"/>
      <c r="Q36" s="3"/>
      <c r="R36" s="3"/>
      <c r="S36" s="2">
        <f t="shared" si="4"/>
        <v>0</v>
      </c>
      <c r="T36" s="3"/>
      <c r="U36" s="101"/>
      <c r="V36" s="3"/>
      <c r="W36" s="3"/>
      <c r="X36" s="3"/>
      <c r="Y36" s="101"/>
      <c r="Z36" s="2"/>
      <c r="AA36" s="2">
        <f t="shared" si="5"/>
        <v>0</v>
      </c>
      <c r="AB36" s="52" t="e">
        <f t="shared" si="2"/>
        <v>#DIV/0!</v>
      </c>
      <c r="AC36" s="67"/>
      <c r="AD36" s="67"/>
      <c r="AE36" s="65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</row>
    <row r="37" spans="1:132" ht="31.5" hidden="1" x14ac:dyDescent="0.25">
      <c r="A37" s="61" t="s">
        <v>89</v>
      </c>
      <c r="B37" s="62" t="s">
        <v>54</v>
      </c>
      <c r="C37" s="62" t="s">
        <v>139</v>
      </c>
      <c r="D37" s="2"/>
      <c r="E37" s="88"/>
      <c r="F37" s="2"/>
      <c r="G37" s="2"/>
      <c r="H37" s="2"/>
      <c r="I37" s="2">
        <f t="shared" si="3"/>
        <v>0</v>
      </c>
      <c r="J37" s="2"/>
      <c r="K37" s="100"/>
      <c r="L37" s="2"/>
      <c r="M37" s="2"/>
      <c r="N37" s="2"/>
      <c r="O37" s="2"/>
      <c r="P37" s="2"/>
      <c r="Q37" s="2"/>
      <c r="R37" s="2"/>
      <c r="S37" s="2">
        <f t="shared" si="4"/>
        <v>0</v>
      </c>
      <c r="T37" s="2"/>
      <c r="U37" s="100"/>
      <c r="V37" s="2"/>
      <c r="W37" s="2"/>
      <c r="X37" s="2"/>
      <c r="Y37" s="100"/>
      <c r="Z37" s="2"/>
      <c r="AA37" s="2">
        <f t="shared" si="5"/>
        <v>0</v>
      </c>
      <c r="AB37" s="52" t="e">
        <f t="shared" si="2"/>
        <v>#DIV/0!</v>
      </c>
      <c r="AC37" s="67"/>
      <c r="AD37" s="67"/>
      <c r="AE37" s="65"/>
    </row>
    <row r="38" spans="1:132" ht="48.75" hidden="1" customHeight="1" x14ac:dyDescent="0.25">
      <c r="A38" s="61" t="s">
        <v>90</v>
      </c>
      <c r="B38" s="62" t="s">
        <v>55</v>
      </c>
      <c r="C38" s="62" t="s">
        <v>139</v>
      </c>
      <c r="D38" s="3"/>
      <c r="E38" s="89"/>
      <c r="F38" s="3"/>
      <c r="G38" s="3"/>
      <c r="H38" s="3"/>
      <c r="I38" s="2">
        <f t="shared" si="3"/>
        <v>0</v>
      </c>
      <c r="J38" s="3"/>
      <c r="K38" s="101"/>
      <c r="L38" s="3"/>
      <c r="M38" s="3"/>
      <c r="N38" s="3"/>
      <c r="O38" s="3"/>
      <c r="P38" s="3"/>
      <c r="Q38" s="3"/>
      <c r="R38" s="3"/>
      <c r="S38" s="2">
        <f t="shared" si="4"/>
        <v>0</v>
      </c>
      <c r="T38" s="3"/>
      <c r="U38" s="101"/>
      <c r="V38" s="3"/>
      <c r="W38" s="3"/>
      <c r="X38" s="3"/>
      <c r="Y38" s="101"/>
      <c r="Z38" s="2"/>
      <c r="AA38" s="2">
        <f t="shared" si="5"/>
        <v>0</v>
      </c>
      <c r="AB38" s="52" t="e">
        <f t="shared" si="2"/>
        <v>#DIV/0!</v>
      </c>
      <c r="AC38" s="67"/>
      <c r="AD38" s="67"/>
      <c r="AE38" s="65"/>
    </row>
    <row r="39" spans="1:132" ht="15.75" hidden="1" x14ac:dyDescent="0.25">
      <c r="A39" s="61" t="s">
        <v>91</v>
      </c>
      <c r="B39" s="62" t="s">
        <v>56</v>
      </c>
      <c r="C39" s="62" t="s">
        <v>139</v>
      </c>
      <c r="D39" s="3"/>
      <c r="E39" s="89"/>
      <c r="F39" s="3"/>
      <c r="G39" s="3"/>
      <c r="H39" s="3"/>
      <c r="I39" s="2">
        <f t="shared" si="3"/>
        <v>0</v>
      </c>
      <c r="J39" s="3"/>
      <c r="K39" s="101"/>
      <c r="L39" s="3"/>
      <c r="M39" s="3"/>
      <c r="N39" s="3"/>
      <c r="O39" s="3"/>
      <c r="P39" s="3"/>
      <c r="Q39" s="3"/>
      <c r="R39" s="3"/>
      <c r="S39" s="2">
        <f t="shared" si="4"/>
        <v>0</v>
      </c>
      <c r="T39" s="3"/>
      <c r="U39" s="101"/>
      <c r="V39" s="3"/>
      <c r="W39" s="3"/>
      <c r="X39" s="3"/>
      <c r="Y39" s="101"/>
      <c r="Z39" s="2"/>
      <c r="AA39" s="2">
        <f t="shared" si="5"/>
        <v>0</v>
      </c>
      <c r="AB39" s="52" t="e">
        <f t="shared" si="2"/>
        <v>#DIV/0!</v>
      </c>
      <c r="AC39" s="67"/>
      <c r="AD39" s="67"/>
      <c r="AE39" s="65"/>
    </row>
    <row r="40" spans="1:132" ht="31.5" hidden="1" x14ac:dyDescent="0.25">
      <c r="A40" s="61" t="s">
        <v>92</v>
      </c>
      <c r="B40" s="62" t="s">
        <v>57</v>
      </c>
      <c r="C40" s="62" t="s">
        <v>139</v>
      </c>
      <c r="D40" s="3"/>
      <c r="E40" s="89"/>
      <c r="F40" s="3"/>
      <c r="G40" s="3"/>
      <c r="H40" s="3"/>
      <c r="I40" s="2">
        <f t="shared" si="3"/>
        <v>0</v>
      </c>
      <c r="J40" s="3"/>
      <c r="K40" s="101"/>
      <c r="L40" s="3"/>
      <c r="M40" s="3"/>
      <c r="N40" s="3"/>
      <c r="O40" s="3"/>
      <c r="P40" s="3"/>
      <c r="Q40" s="3"/>
      <c r="R40" s="3"/>
      <c r="S40" s="2">
        <f t="shared" si="4"/>
        <v>0</v>
      </c>
      <c r="T40" s="3"/>
      <c r="U40" s="101"/>
      <c r="V40" s="3"/>
      <c r="W40" s="3"/>
      <c r="X40" s="3"/>
      <c r="Y40" s="101"/>
      <c r="Z40" s="2"/>
      <c r="AA40" s="2">
        <f t="shared" si="5"/>
        <v>0</v>
      </c>
      <c r="AB40" s="52" t="e">
        <f t="shared" si="2"/>
        <v>#DIV/0!</v>
      </c>
      <c r="AC40" s="67"/>
      <c r="AD40" s="67"/>
      <c r="AE40" s="65"/>
    </row>
    <row r="41" spans="1:132" ht="15.75" x14ac:dyDescent="0.25">
      <c r="A41" s="61" t="s">
        <v>93</v>
      </c>
      <c r="B41" s="62" t="s">
        <v>58</v>
      </c>
      <c r="C41" s="62" t="s">
        <v>139</v>
      </c>
      <c r="D41" s="2">
        <f>D42+D57</f>
        <v>916.42118844000004</v>
      </c>
      <c r="E41" s="88">
        <f>E42+E57</f>
        <v>31.363634015999999</v>
      </c>
      <c r="F41" s="2"/>
      <c r="G41" s="2"/>
      <c r="H41" s="2"/>
      <c r="I41" s="2">
        <f t="shared" si="3"/>
        <v>31.363634015999999</v>
      </c>
      <c r="J41" s="2">
        <f t="shared" ref="J41:O41" si="12">J42+J57</f>
        <v>35.599075188</v>
      </c>
      <c r="K41" s="100">
        <f t="shared" si="12"/>
        <v>29.843781298</v>
      </c>
      <c r="L41" s="2">
        <f t="shared" si="12"/>
        <v>5.5232938900000006</v>
      </c>
      <c r="M41" s="2">
        <f t="shared" si="12"/>
        <v>2.7310741600000004</v>
      </c>
      <c r="N41" s="2">
        <f t="shared" si="12"/>
        <v>0</v>
      </c>
      <c r="O41" s="2">
        <f t="shared" si="12"/>
        <v>26.13636168</v>
      </c>
      <c r="P41" s="2"/>
      <c r="Q41" s="2"/>
      <c r="R41" s="2"/>
      <c r="S41" s="2">
        <f t="shared" si="4"/>
        <v>26.13636168</v>
      </c>
      <c r="T41" s="2">
        <f t="shared" ref="T41:Z41" si="13">T42+T57</f>
        <v>35.497416610000002</v>
      </c>
      <c r="U41" s="100">
        <f t="shared" si="13"/>
        <v>26.164707760000006</v>
      </c>
      <c r="V41" s="2">
        <f t="shared" si="13"/>
        <v>4.8750585900000001</v>
      </c>
      <c r="W41" s="2">
        <f t="shared" si="13"/>
        <v>4.4576502599999985</v>
      </c>
      <c r="X41" s="2">
        <f t="shared" si="13"/>
        <v>0</v>
      </c>
      <c r="Y41" s="100">
        <f t="shared" si="13"/>
        <v>0</v>
      </c>
      <c r="Z41" s="2">
        <f t="shared" si="13"/>
        <v>-1.6814601279999999</v>
      </c>
      <c r="AA41" s="2">
        <f t="shared" si="5"/>
        <v>4.2354411720000016</v>
      </c>
      <c r="AB41" s="52">
        <f t="shared" si="2"/>
        <v>0.13504306196913637</v>
      </c>
      <c r="AC41" s="67"/>
      <c r="AD41" s="67"/>
      <c r="AE41" s="65"/>
    </row>
    <row r="42" spans="1:132" s="69" customFormat="1" ht="31.5" x14ac:dyDescent="0.25">
      <c r="A42" s="61" t="s">
        <v>94</v>
      </c>
      <c r="B42" s="62" t="s">
        <v>32</v>
      </c>
      <c r="C42" s="62" t="s">
        <v>139</v>
      </c>
      <c r="D42" s="2">
        <f>SUM(D43:D54)</f>
        <v>916.42118844000004</v>
      </c>
      <c r="E42" s="2">
        <f t="shared" ref="E42:AB42" si="14">SUM(E43:E54)</f>
        <v>31.363634015999999</v>
      </c>
      <c r="F42" s="2">
        <f t="shared" si="14"/>
        <v>0</v>
      </c>
      <c r="G42" s="2">
        <f t="shared" si="14"/>
        <v>0</v>
      </c>
      <c r="H42" s="2">
        <f t="shared" si="14"/>
        <v>0</v>
      </c>
      <c r="I42" s="2">
        <f t="shared" si="14"/>
        <v>31.363634015999999</v>
      </c>
      <c r="J42" s="2">
        <f t="shared" si="14"/>
        <v>33.619668357999998</v>
      </c>
      <c r="K42" s="2">
        <f t="shared" si="14"/>
        <v>27.963344817999999</v>
      </c>
      <c r="L42" s="2">
        <f t="shared" si="14"/>
        <v>5.4243235400000005</v>
      </c>
      <c r="M42" s="2">
        <f t="shared" si="14"/>
        <v>2.7310741600000004</v>
      </c>
      <c r="N42" s="2">
        <f t="shared" si="14"/>
        <v>0</v>
      </c>
      <c r="O42" s="2">
        <f t="shared" si="14"/>
        <v>26.13636168</v>
      </c>
      <c r="P42" s="2">
        <f t="shared" si="14"/>
        <v>0</v>
      </c>
      <c r="Q42" s="2">
        <f t="shared" si="14"/>
        <v>0</v>
      </c>
      <c r="R42" s="2">
        <f t="shared" si="14"/>
        <v>0</v>
      </c>
      <c r="S42" s="2">
        <f t="shared" si="14"/>
        <v>26.13636168</v>
      </c>
      <c r="T42" s="2">
        <f t="shared" si="14"/>
        <v>33.847910920000004</v>
      </c>
      <c r="U42" s="2">
        <f t="shared" si="14"/>
        <v>24.515202070000004</v>
      </c>
      <c r="V42" s="2">
        <f t="shared" si="14"/>
        <v>4.8750585900000001</v>
      </c>
      <c r="W42" s="2">
        <f t="shared" si="14"/>
        <v>4.4576502599999985</v>
      </c>
      <c r="X42" s="2">
        <f t="shared" si="14"/>
        <v>0</v>
      </c>
      <c r="Y42" s="2">
        <f t="shared" si="14"/>
        <v>0</v>
      </c>
      <c r="Z42" s="2">
        <f t="shared" si="14"/>
        <v>-1.6814601279999999</v>
      </c>
      <c r="AA42" s="2">
        <f t="shared" si="14"/>
        <v>1.6814601279999999</v>
      </c>
      <c r="AB42" s="2" t="e">
        <f t="shared" si="14"/>
        <v>#DIV/0!</v>
      </c>
      <c r="AC42" s="67"/>
      <c r="AD42" s="67"/>
      <c r="AE42" s="65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</row>
    <row r="43" spans="1:132" ht="31.5" x14ac:dyDescent="0.25">
      <c r="A43" s="38" t="s">
        <v>160</v>
      </c>
      <c r="B43" s="70" t="s">
        <v>149</v>
      </c>
      <c r="C43" s="71" t="s">
        <v>150</v>
      </c>
      <c r="D43" s="3">
        <v>0</v>
      </c>
      <c r="E43" s="89">
        <v>0</v>
      </c>
      <c r="F43" s="3"/>
      <c r="G43" s="3"/>
      <c r="H43" s="3"/>
      <c r="I43" s="2">
        <f t="shared" si="3"/>
        <v>0</v>
      </c>
      <c r="J43" s="3">
        <f t="shared" ref="J43:J53" si="15">K43+L43+M43+N43</f>
        <v>0</v>
      </c>
      <c r="K43" s="101"/>
      <c r="L43" s="3"/>
      <c r="M43" s="3"/>
      <c r="N43" s="3"/>
      <c r="O43" s="3">
        <v>0</v>
      </c>
      <c r="P43" s="3"/>
      <c r="Q43" s="3"/>
      <c r="R43" s="3"/>
      <c r="S43" s="2">
        <f t="shared" si="4"/>
        <v>0</v>
      </c>
      <c r="T43" s="3">
        <f t="shared" ref="T43:T58" si="16">U43+V43+W43+X43</f>
        <v>0</v>
      </c>
      <c r="U43" s="2">
        <v>0</v>
      </c>
      <c r="V43" s="2">
        <v>0</v>
      </c>
      <c r="W43" s="2">
        <v>0</v>
      </c>
      <c r="X43" s="3"/>
      <c r="Y43" s="101"/>
      <c r="Z43" s="2">
        <f t="shared" ref="Z43:Z51" si="17">E43-J43</f>
        <v>0</v>
      </c>
      <c r="AA43" s="2">
        <f t="shared" ref="AA43:AA51" si="18">J43-E43</f>
        <v>0</v>
      </c>
      <c r="AB43" s="52" t="e">
        <f t="shared" si="2"/>
        <v>#DIV/0!</v>
      </c>
      <c r="AC43" s="3"/>
      <c r="AD43" s="3"/>
      <c r="AE43" s="72"/>
    </row>
    <row r="44" spans="1:132" ht="31.5" x14ac:dyDescent="0.25">
      <c r="A44" s="38" t="s">
        <v>161</v>
      </c>
      <c r="B44" s="70" t="s">
        <v>151</v>
      </c>
      <c r="C44" s="71" t="s">
        <v>152</v>
      </c>
      <c r="D44" s="3">
        <v>0</v>
      </c>
      <c r="E44" s="89">
        <v>0</v>
      </c>
      <c r="F44" s="3"/>
      <c r="G44" s="3"/>
      <c r="H44" s="3"/>
      <c r="I44" s="2">
        <f t="shared" si="3"/>
        <v>0</v>
      </c>
      <c r="J44" s="3">
        <f t="shared" si="15"/>
        <v>0</v>
      </c>
      <c r="K44" s="101"/>
      <c r="L44" s="3"/>
      <c r="M44" s="3"/>
      <c r="N44" s="3"/>
      <c r="O44" s="3">
        <v>0</v>
      </c>
      <c r="P44" s="3"/>
      <c r="Q44" s="3"/>
      <c r="R44" s="3"/>
      <c r="S44" s="2">
        <f t="shared" si="4"/>
        <v>0</v>
      </c>
      <c r="T44" s="3">
        <f t="shared" si="16"/>
        <v>0</v>
      </c>
      <c r="U44" s="2">
        <v>0</v>
      </c>
      <c r="V44" s="2">
        <v>0</v>
      </c>
      <c r="W44" s="2">
        <v>0</v>
      </c>
      <c r="X44" s="3"/>
      <c r="Y44" s="101"/>
      <c r="Z44" s="2">
        <f t="shared" si="17"/>
        <v>0</v>
      </c>
      <c r="AA44" s="2">
        <f t="shared" si="18"/>
        <v>0</v>
      </c>
      <c r="AB44" s="52" t="e">
        <f t="shared" si="2"/>
        <v>#DIV/0!</v>
      </c>
      <c r="AC44" s="3"/>
      <c r="AD44" s="3"/>
      <c r="AE44" s="2"/>
    </row>
    <row r="45" spans="1:132" ht="31.5" x14ac:dyDescent="0.25">
      <c r="A45" s="38" t="s">
        <v>162</v>
      </c>
      <c r="B45" s="72" t="s">
        <v>118</v>
      </c>
      <c r="C45" s="41" t="s">
        <v>128</v>
      </c>
      <c r="D45" s="3">
        <v>0</v>
      </c>
      <c r="E45" s="89">
        <v>0</v>
      </c>
      <c r="F45" s="3"/>
      <c r="G45" s="3"/>
      <c r="H45" s="3"/>
      <c r="I45" s="2">
        <f t="shared" si="3"/>
        <v>0</v>
      </c>
      <c r="J45" s="3">
        <f t="shared" si="15"/>
        <v>0</v>
      </c>
      <c r="K45" s="101"/>
      <c r="L45" s="3"/>
      <c r="M45" s="3"/>
      <c r="N45" s="3"/>
      <c r="O45" s="3">
        <v>0</v>
      </c>
      <c r="P45" s="3"/>
      <c r="Q45" s="3"/>
      <c r="R45" s="3"/>
      <c r="S45" s="2">
        <f t="shared" si="4"/>
        <v>0</v>
      </c>
      <c r="T45" s="3">
        <f t="shared" si="16"/>
        <v>0</v>
      </c>
      <c r="U45" s="2">
        <v>0</v>
      </c>
      <c r="V45" s="2">
        <v>0</v>
      </c>
      <c r="W45" s="2">
        <v>0</v>
      </c>
      <c r="X45" s="3"/>
      <c r="Y45" s="101"/>
      <c r="Z45" s="2">
        <f t="shared" si="17"/>
        <v>0</v>
      </c>
      <c r="AA45" s="2">
        <f t="shared" si="18"/>
        <v>0</v>
      </c>
      <c r="AB45" s="52" t="e">
        <f t="shared" si="2"/>
        <v>#DIV/0!</v>
      </c>
      <c r="AC45" s="3"/>
      <c r="AD45" s="3"/>
      <c r="AE45" s="2"/>
    </row>
    <row r="46" spans="1:132" s="69" customFormat="1" ht="31.5" x14ac:dyDescent="0.25">
      <c r="A46" s="38" t="s">
        <v>163</v>
      </c>
      <c r="B46" s="72" t="s">
        <v>129</v>
      </c>
      <c r="C46" s="41" t="s">
        <v>130</v>
      </c>
      <c r="D46" s="3">
        <v>0</v>
      </c>
      <c r="E46" s="89">
        <v>0</v>
      </c>
      <c r="F46" s="3"/>
      <c r="G46" s="3"/>
      <c r="H46" s="3"/>
      <c r="I46" s="2">
        <f t="shared" si="3"/>
        <v>0</v>
      </c>
      <c r="J46" s="3">
        <f t="shared" si="15"/>
        <v>0</v>
      </c>
      <c r="K46" s="101"/>
      <c r="L46" s="3"/>
      <c r="M46" s="3"/>
      <c r="N46" s="3"/>
      <c r="O46" s="3">
        <v>0</v>
      </c>
      <c r="P46" s="3"/>
      <c r="Q46" s="3"/>
      <c r="R46" s="3"/>
      <c r="S46" s="2">
        <f t="shared" si="4"/>
        <v>0</v>
      </c>
      <c r="T46" s="3">
        <f t="shared" si="16"/>
        <v>0</v>
      </c>
      <c r="U46" s="2">
        <v>0</v>
      </c>
      <c r="V46" s="2">
        <v>0</v>
      </c>
      <c r="W46" s="2">
        <v>0</v>
      </c>
      <c r="X46" s="3"/>
      <c r="Y46" s="101"/>
      <c r="Z46" s="2">
        <f t="shared" si="17"/>
        <v>0</v>
      </c>
      <c r="AA46" s="2">
        <f t="shared" si="18"/>
        <v>0</v>
      </c>
      <c r="AB46" s="52" t="e">
        <f t="shared" si="2"/>
        <v>#DIV/0!</v>
      </c>
      <c r="AC46" s="3"/>
      <c r="AD46" s="3"/>
      <c r="AE46" s="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</row>
    <row r="47" spans="1:132" ht="31.5" x14ac:dyDescent="0.25">
      <c r="A47" s="38" t="s">
        <v>164</v>
      </c>
      <c r="B47" s="72" t="s">
        <v>119</v>
      </c>
      <c r="C47" s="41" t="s">
        <v>131</v>
      </c>
      <c r="D47" s="3">
        <v>0</v>
      </c>
      <c r="E47" s="89">
        <v>0</v>
      </c>
      <c r="F47" s="3"/>
      <c r="G47" s="3"/>
      <c r="H47" s="3"/>
      <c r="I47" s="2">
        <f t="shared" si="3"/>
        <v>0</v>
      </c>
      <c r="J47" s="3">
        <f t="shared" si="15"/>
        <v>0</v>
      </c>
      <c r="K47" s="101"/>
      <c r="L47" s="3"/>
      <c r="M47" s="3"/>
      <c r="N47" s="3"/>
      <c r="O47" s="3">
        <v>0</v>
      </c>
      <c r="P47" s="3"/>
      <c r="Q47" s="3"/>
      <c r="R47" s="3"/>
      <c r="S47" s="2">
        <f t="shared" si="4"/>
        <v>0</v>
      </c>
      <c r="T47" s="3">
        <f t="shared" si="16"/>
        <v>0</v>
      </c>
      <c r="U47" s="2">
        <v>0</v>
      </c>
      <c r="V47" s="2">
        <v>0</v>
      </c>
      <c r="W47" s="2">
        <v>0</v>
      </c>
      <c r="X47" s="3"/>
      <c r="Y47" s="101"/>
      <c r="Z47" s="2">
        <f t="shared" si="17"/>
        <v>0</v>
      </c>
      <c r="AA47" s="2">
        <f t="shared" si="18"/>
        <v>0</v>
      </c>
      <c r="AB47" s="52" t="e">
        <f t="shared" si="2"/>
        <v>#DIV/0!</v>
      </c>
      <c r="AC47" s="3"/>
      <c r="AD47" s="3"/>
      <c r="AE47" s="2"/>
    </row>
    <row r="48" spans="1:132" ht="31.5" x14ac:dyDescent="0.25">
      <c r="A48" s="38" t="s">
        <v>165</v>
      </c>
      <c r="B48" s="72" t="s">
        <v>153</v>
      </c>
      <c r="C48" s="41" t="s">
        <v>154</v>
      </c>
      <c r="D48" s="3">
        <v>0</v>
      </c>
      <c r="E48" s="89">
        <v>0</v>
      </c>
      <c r="F48" s="3"/>
      <c r="G48" s="3"/>
      <c r="H48" s="3"/>
      <c r="I48" s="2">
        <f t="shared" si="3"/>
        <v>0</v>
      </c>
      <c r="J48" s="3">
        <f t="shared" si="15"/>
        <v>0</v>
      </c>
      <c r="K48" s="101"/>
      <c r="L48" s="3"/>
      <c r="M48" s="3"/>
      <c r="N48" s="3"/>
      <c r="O48" s="3">
        <v>0</v>
      </c>
      <c r="P48" s="3"/>
      <c r="Q48" s="3"/>
      <c r="R48" s="3"/>
      <c r="S48" s="2">
        <f t="shared" si="4"/>
        <v>0</v>
      </c>
      <c r="T48" s="3">
        <f t="shared" si="16"/>
        <v>0</v>
      </c>
      <c r="U48" s="2">
        <v>0</v>
      </c>
      <c r="V48" s="2">
        <v>0</v>
      </c>
      <c r="W48" s="2">
        <v>0</v>
      </c>
      <c r="X48" s="3"/>
      <c r="Y48" s="101"/>
      <c r="Z48" s="2">
        <f t="shared" si="17"/>
        <v>0</v>
      </c>
      <c r="AA48" s="2">
        <f t="shared" si="18"/>
        <v>0</v>
      </c>
      <c r="AB48" s="52" t="e">
        <f t="shared" si="2"/>
        <v>#DIV/0!</v>
      </c>
      <c r="AC48" s="3"/>
      <c r="AD48" s="3"/>
      <c r="AE48" s="73"/>
    </row>
    <row r="49" spans="1:132" s="69" customFormat="1" ht="15.75" x14ac:dyDescent="0.25">
      <c r="A49" s="38" t="s">
        <v>166</v>
      </c>
      <c r="B49" s="72" t="s">
        <v>155</v>
      </c>
      <c r="C49" s="41" t="s">
        <v>132</v>
      </c>
      <c r="D49" s="3">
        <v>0</v>
      </c>
      <c r="E49" s="89">
        <v>0</v>
      </c>
      <c r="F49" s="3"/>
      <c r="G49" s="3"/>
      <c r="H49" s="3"/>
      <c r="I49" s="2">
        <f t="shared" si="3"/>
        <v>0</v>
      </c>
      <c r="J49" s="3">
        <f t="shared" si="15"/>
        <v>1.6814601279999999</v>
      </c>
      <c r="K49" s="101">
        <f>214474.248/1000000</f>
        <v>0.21447424799999998</v>
      </c>
      <c r="L49" s="3">
        <v>1.23498588</v>
      </c>
      <c r="M49" s="3">
        <v>0.23200000000000001</v>
      </c>
      <c r="N49" s="3"/>
      <c r="O49" s="3">
        <v>0</v>
      </c>
      <c r="P49" s="3"/>
      <c r="Q49" s="3"/>
      <c r="R49" s="3"/>
      <c r="S49" s="2">
        <f t="shared" si="4"/>
        <v>0</v>
      </c>
      <c r="T49" s="3">
        <f t="shared" si="16"/>
        <v>5.3630524199999998</v>
      </c>
      <c r="U49" s="101">
        <f>178728.54/1000000</f>
        <v>0.17872854000000002</v>
      </c>
      <c r="V49" s="3">
        <v>0.78978588000000005</v>
      </c>
      <c r="W49" s="3">
        <f>5.36305242-U49-V49</f>
        <v>4.3945379999999998</v>
      </c>
      <c r="X49" s="3"/>
      <c r="Y49" s="101"/>
      <c r="Z49" s="2">
        <f t="shared" si="17"/>
        <v>-1.6814601279999999</v>
      </c>
      <c r="AA49" s="2">
        <f t="shared" si="18"/>
        <v>1.6814601279999999</v>
      </c>
      <c r="AB49" s="52" t="e">
        <f t="shared" si="2"/>
        <v>#DIV/0!</v>
      </c>
      <c r="AC49" s="3"/>
      <c r="AD49" s="3"/>
      <c r="AE49" s="3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</row>
    <row r="50" spans="1:132" s="69" customFormat="1" ht="31.5" x14ac:dyDescent="0.25">
      <c r="A50" s="38" t="s">
        <v>167</v>
      </c>
      <c r="B50" s="72" t="s">
        <v>156</v>
      </c>
      <c r="C50" s="41" t="s">
        <v>157</v>
      </c>
      <c r="D50" s="3">
        <v>0</v>
      </c>
      <c r="E50" s="89">
        <v>0</v>
      </c>
      <c r="F50" s="3"/>
      <c r="G50" s="3"/>
      <c r="H50" s="3"/>
      <c r="I50" s="2">
        <f t="shared" si="3"/>
        <v>0</v>
      </c>
      <c r="J50" s="3">
        <f t="shared" si="15"/>
        <v>0</v>
      </c>
      <c r="K50" s="101"/>
      <c r="L50" s="3"/>
      <c r="M50" s="3"/>
      <c r="N50" s="3"/>
      <c r="O50" s="3">
        <v>0</v>
      </c>
      <c r="P50" s="3"/>
      <c r="Q50" s="3"/>
      <c r="R50" s="3"/>
      <c r="S50" s="2">
        <f t="shared" si="4"/>
        <v>0</v>
      </c>
      <c r="T50" s="3">
        <f t="shared" si="16"/>
        <v>0</v>
      </c>
      <c r="U50" s="2">
        <v>0</v>
      </c>
      <c r="V50" s="2">
        <v>0</v>
      </c>
      <c r="W50" s="2">
        <v>0</v>
      </c>
      <c r="X50" s="3"/>
      <c r="Y50" s="101"/>
      <c r="Z50" s="2">
        <f t="shared" si="17"/>
        <v>0</v>
      </c>
      <c r="AA50" s="2">
        <f>J50-E50</f>
        <v>0</v>
      </c>
      <c r="AB50" s="52" t="e">
        <f t="shared" si="2"/>
        <v>#DIV/0!</v>
      </c>
      <c r="AC50" s="3"/>
      <c r="AD50" s="3"/>
      <c r="AE50" s="3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</row>
    <row r="51" spans="1:132" ht="31.5" x14ac:dyDescent="0.25">
      <c r="A51" s="38" t="s">
        <v>168</v>
      </c>
      <c r="B51" s="72" t="s">
        <v>158</v>
      </c>
      <c r="C51" s="41" t="s">
        <v>159</v>
      </c>
      <c r="D51" s="3">
        <v>0</v>
      </c>
      <c r="E51" s="89">
        <v>0</v>
      </c>
      <c r="F51" s="2"/>
      <c r="G51" s="2"/>
      <c r="H51" s="2"/>
      <c r="I51" s="2">
        <f t="shared" si="3"/>
        <v>0</v>
      </c>
      <c r="J51" s="3">
        <f t="shared" si="15"/>
        <v>0</v>
      </c>
      <c r="K51" s="101"/>
      <c r="L51" s="3"/>
      <c r="M51" s="3"/>
      <c r="N51" s="3"/>
      <c r="O51" s="3">
        <v>0</v>
      </c>
      <c r="P51" s="3"/>
      <c r="Q51" s="3"/>
      <c r="R51" s="3"/>
      <c r="S51" s="2">
        <f t="shared" si="4"/>
        <v>0</v>
      </c>
      <c r="T51" s="3">
        <f t="shared" si="16"/>
        <v>0</v>
      </c>
      <c r="U51" s="2">
        <v>0</v>
      </c>
      <c r="V51" s="2">
        <v>0</v>
      </c>
      <c r="W51" s="2">
        <v>0</v>
      </c>
      <c r="X51" s="3"/>
      <c r="Y51" s="101"/>
      <c r="Z51" s="2">
        <f t="shared" si="17"/>
        <v>0</v>
      </c>
      <c r="AA51" s="2">
        <f t="shared" si="18"/>
        <v>0</v>
      </c>
      <c r="AB51" s="52" t="e">
        <f t="shared" si="2"/>
        <v>#DIV/0!</v>
      </c>
      <c r="AC51" s="3"/>
      <c r="AD51" s="3"/>
      <c r="AE51" s="2"/>
    </row>
    <row r="52" spans="1:132" ht="15.75" x14ac:dyDescent="0.25">
      <c r="A52" s="38" t="s">
        <v>169</v>
      </c>
      <c r="B52" s="72" t="s">
        <v>201</v>
      </c>
      <c r="C52" s="41" t="s">
        <v>202</v>
      </c>
      <c r="D52" s="3">
        <v>171.089745612</v>
      </c>
      <c r="E52" s="89">
        <v>31.363634015999999</v>
      </c>
      <c r="F52" s="2"/>
      <c r="G52" s="2"/>
      <c r="H52" s="2"/>
      <c r="I52" s="2">
        <f t="shared" si="3"/>
        <v>31.363634015999999</v>
      </c>
      <c r="J52" s="3">
        <f t="shared" si="15"/>
        <v>31.938208230000001</v>
      </c>
      <c r="K52" s="101">
        <f>27748870.57/1000000</f>
        <v>27.748870570000001</v>
      </c>
      <c r="L52" s="3">
        <v>4.1893376600000005</v>
      </c>
      <c r="M52" s="3"/>
      <c r="N52" s="3"/>
      <c r="O52" s="3">
        <v>26.13636168</v>
      </c>
      <c r="P52" s="3"/>
      <c r="Q52" s="3"/>
      <c r="R52" s="3"/>
      <c r="S52" s="2">
        <f t="shared" si="4"/>
        <v>26.13636168</v>
      </c>
      <c r="T52" s="3">
        <f t="shared" si="16"/>
        <v>28.484858500000001</v>
      </c>
      <c r="U52" s="101">
        <f>24336473.53/1000000</f>
        <v>24.336473530000003</v>
      </c>
      <c r="V52" s="3">
        <v>4.0852727099999999</v>
      </c>
      <c r="W52" s="3">
        <f>28.4848585-U52-V52</f>
        <v>6.3112259999998699E-2</v>
      </c>
      <c r="X52" s="3"/>
      <c r="Y52" s="100"/>
      <c r="Z52" s="2"/>
      <c r="AA52" s="2"/>
      <c r="AB52" s="52">
        <f t="shared" si="2"/>
        <v>0</v>
      </c>
      <c r="AC52" s="3"/>
      <c r="AD52" s="3"/>
      <c r="AE52" s="2"/>
    </row>
    <row r="53" spans="1:132" ht="31.5" x14ac:dyDescent="0.25">
      <c r="A53" s="38" t="s">
        <v>203</v>
      </c>
      <c r="B53" s="72" t="s">
        <v>204</v>
      </c>
      <c r="C53" s="41" t="s">
        <v>205</v>
      </c>
      <c r="D53" s="3">
        <v>745.33144282800004</v>
      </c>
      <c r="E53" s="88">
        <v>0</v>
      </c>
      <c r="F53" s="2"/>
      <c r="G53" s="2"/>
      <c r="H53" s="2"/>
      <c r="I53" s="2">
        <f t="shared" si="3"/>
        <v>0</v>
      </c>
      <c r="J53" s="3">
        <f t="shared" si="15"/>
        <v>0</v>
      </c>
      <c r="K53" s="101"/>
      <c r="L53" s="3"/>
      <c r="M53" s="3"/>
      <c r="N53" s="3"/>
      <c r="O53" s="3">
        <v>0</v>
      </c>
      <c r="P53" s="3"/>
      <c r="Q53" s="3"/>
      <c r="R53" s="3"/>
      <c r="S53" s="2">
        <f t="shared" si="4"/>
        <v>0</v>
      </c>
      <c r="T53" s="3">
        <f t="shared" si="16"/>
        <v>0</v>
      </c>
      <c r="U53" s="2">
        <v>0</v>
      </c>
      <c r="V53" s="2">
        <v>0</v>
      </c>
      <c r="W53" s="2">
        <v>0</v>
      </c>
      <c r="X53" s="2"/>
      <c r="Y53" s="100"/>
      <c r="Z53" s="2"/>
      <c r="AA53" s="2"/>
      <c r="AB53" s="52" t="e">
        <f t="shared" si="2"/>
        <v>#DIV/0!</v>
      </c>
      <c r="AC53" s="2"/>
      <c r="AD53" s="2"/>
      <c r="AE53" s="3"/>
    </row>
    <row r="54" spans="1:132" ht="31.5" x14ac:dyDescent="0.25">
      <c r="A54" s="38" t="s">
        <v>279</v>
      </c>
      <c r="B54" s="72" t="s">
        <v>277</v>
      </c>
      <c r="C54" s="135" t="s">
        <v>278</v>
      </c>
      <c r="D54" s="3">
        <v>0</v>
      </c>
      <c r="E54" s="89"/>
      <c r="F54" s="3"/>
      <c r="G54" s="3"/>
      <c r="H54" s="3"/>
      <c r="I54" s="2">
        <f t="shared" si="3"/>
        <v>0</v>
      </c>
      <c r="J54" s="3"/>
      <c r="K54" s="101"/>
      <c r="L54" s="3"/>
      <c r="M54" s="3">
        <f>2499074.16/1000000</f>
        <v>2.4990741600000002</v>
      </c>
      <c r="N54" s="3"/>
      <c r="O54" s="3"/>
      <c r="P54" s="3"/>
      <c r="Q54" s="3"/>
      <c r="R54" s="3"/>
      <c r="S54" s="2">
        <f t="shared" si="4"/>
        <v>0</v>
      </c>
      <c r="T54" s="3">
        <f t="shared" si="16"/>
        <v>0</v>
      </c>
      <c r="U54" s="101"/>
      <c r="V54" s="3"/>
      <c r="W54" s="3"/>
      <c r="X54" s="3"/>
      <c r="Y54" s="101"/>
      <c r="Z54" s="2"/>
      <c r="AA54" s="2"/>
      <c r="AB54" s="52" t="e">
        <f t="shared" si="2"/>
        <v>#DIV/0!</v>
      </c>
      <c r="AC54" s="3"/>
      <c r="AD54" s="3"/>
      <c r="AE54" s="3"/>
    </row>
    <row r="55" spans="1:132" ht="31.5" x14ac:dyDescent="0.25">
      <c r="A55" s="61" t="s">
        <v>95</v>
      </c>
      <c r="B55" s="62" t="s">
        <v>59</v>
      </c>
      <c r="C55" s="62"/>
      <c r="D55" s="3">
        <v>0</v>
      </c>
      <c r="E55" s="89"/>
      <c r="F55" s="3"/>
      <c r="G55" s="3"/>
      <c r="H55" s="3"/>
      <c r="I55" s="2">
        <f t="shared" si="3"/>
        <v>0</v>
      </c>
      <c r="J55" s="3"/>
      <c r="K55" s="101"/>
      <c r="L55" s="3"/>
      <c r="M55" s="3"/>
      <c r="N55" s="3"/>
      <c r="O55" s="3"/>
      <c r="P55" s="3"/>
      <c r="Q55" s="3"/>
      <c r="R55" s="3"/>
      <c r="S55" s="2">
        <f t="shared" si="4"/>
        <v>0</v>
      </c>
      <c r="T55" s="3">
        <f t="shared" si="16"/>
        <v>0</v>
      </c>
      <c r="U55" s="101"/>
      <c r="V55" s="3"/>
      <c r="W55" s="3"/>
      <c r="X55" s="3"/>
      <c r="Y55" s="101"/>
      <c r="Z55" s="2">
        <f>E55-J55</f>
        <v>0</v>
      </c>
      <c r="AA55" s="2">
        <f>J55-E55</f>
        <v>0</v>
      </c>
      <c r="AB55" s="52" t="e">
        <f t="shared" si="2"/>
        <v>#DIV/0!</v>
      </c>
      <c r="AC55" s="3"/>
      <c r="AD55" s="3"/>
      <c r="AE55" s="74"/>
    </row>
    <row r="56" spans="1:132" ht="31.5" x14ac:dyDescent="0.25">
      <c r="A56" s="61" t="s">
        <v>96</v>
      </c>
      <c r="B56" s="62" t="s">
        <v>60</v>
      </c>
      <c r="C56" s="62"/>
      <c r="D56" s="2">
        <v>0</v>
      </c>
      <c r="E56" s="88"/>
      <c r="F56" s="2"/>
      <c r="G56" s="2"/>
      <c r="H56" s="2"/>
      <c r="I56" s="2">
        <f t="shared" si="3"/>
        <v>0</v>
      </c>
      <c r="J56" s="3"/>
      <c r="K56" s="101"/>
      <c r="L56" s="3"/>
      <c r="M56" s="3"/>
      <c r="N56" s="3"/>
      <c r="O56" s="3"/>
      <c r="P56" s="3"/>
      <c r="Q56" s="3"/>
      <c r="R56" s="3"/>
      <c r="S56" s="2">
        <f t="shared" si="4"/>
        <v>0</v>
      </c>
      <c r="T56" s="3">
        <f t="shared" si="16"/>
        <v>0</v>
      </c>
      <c r="U56" s="100"/>
      <c r="V56" s="2"/>
      <c r="W56" s="2"/>
      <c r="X56" s="2"/>
      <c r="Y56" s="100"/>
      <c r="Z56" s="2">
        <f>E56-J56</f>
        <v>0</v>
      </c>
      <c r="AA56" s="2">
        <f>J56-E56</f>
        <v>0</v>
      </c>
      <c r="AB56" s="52" t="e">
        <f t="shared" si="2"/>
        <v>#DIV/0!</v>
      </c>
      <c r="AC56" s="2"/>
      <c r="AD56" s="2"/>
      <c r="AE56" s="2"/>
    </row>
    <row r="57" spans="1:132" s="69" customFormat="1" ht="31.5" x14ac:dyDescent="0.25">
      <c r="A57" s="61" t="s">
        <v>97</v>
      </c>
      <c r="B57" s="62" t="s">
        <v>61</v>
      </c>
      <c r="C57" s="62" t="s">
        <v>139</v>
      </c>
      <c r="D57" s="2">
        <f t="shared" ref="D57" si="19">D58+D59</f>
        <v>0</v>
      </c>
      <c r="E57" s="2">
        <f>E58+E59</f>
        <v>0</v>
      </c>
      <c r="F57" s="2">
        <f t="shared" ref="F57:Y57" si="20">F58+F59</f>
        <v>0</v>
      </c>
      <c r="G57" s="2">
        <f t="shared" si="20"/>
        <v>0</v>
      </c>
      <c r="H57" s="2">
        <f t="shared" si="20"/>
        <v>0</v>
      </c>
      <c r="I57" s="2">
        <f t="shared" si="20"/>
        <v>0</v>
      </c>
      <c r="J57" s="2">
        <f t="shared" si="20"/>
        <v>1.9794068300000001</v>
      </c>
      <c r="K57" s="100">
        <f t="shared" si="20"/>
        <v>1.88043648</v>
      </c>
      <c r="L57" s="2">
        <f t="shared" si="20"/>
        <v>9.8970350000000012E-2</v>
      </c>
      <c r="M57" s="2">
        <f t="shared" si="20"/>
        <v>0</v>
      </c>
      <c r="N57" s="2">
        <f t="shared" si="20"/>
        <v>0</v>
      </c>
      <c r="O57" s="2">
        <f t="shared" si="20"/>
        <v>0</v>
      </c>
      <c r="P57" s="2">
        <f t="shared" si="20"/>
        <v>0</v>
      </c>
      <c r="Q57" s="2">
        <f t="shared" si="20"/>
        <v>0</v>
      </c>
      <c r="R57" s="2">
        <f t="shared" si="20"/>
        <v>0</v>
      </c>
      <c r="S57" s="2">
        <f t="shared" si="20"/>
        <v>0</v>
      </c>
      <c r="T57" s="2">
        <f t="shared" si="20"/>
        <v>1.64950569</v>
      </c>
      <c r="U57" s="100">
        <f>U58+U59</f>
        <v>1.64950569</v>
      </c>
      <c r="V57" s="2">
        <f t="shared" si="20"/>
        <v>0</v>
      </c>
      <c r="W57" s="2">
        <f t="shared" si="20"/>
        <v>0</v>
      </c>
      <c r="X57" s="2">
        <f t="shared" si="20"/>
        <v>0</v>
      </c>
      <c r="Y57" s="2">
        <f t="shared" si="20"/>
        <v>0</v>
      </c>
      <c r="Z57" s="2">
        <f>Z58+Z59</f>
        <v>0</v>
      </c>
      <c r="AA57" s="2">
        <f t="shared" ref="AA57" si="21">AA58</f>
        <v>0</v>
      </c>
      <c r="AB57" s="52" t="e">
        <f t="shared" si="2"/>
        <v>#DIV/0!</v>
      </c>
      <c r="AC57" s="3"/>
      <c r="AD57" s="3"/>
      <c r="AE57" s="74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</row>
    <row r="58" spans="1:132" ht="15.75" x14ac:dyDescent="0.25">
      <c r="A58" s="38" t="s">
        <v>114</v>
      </c>
      <c r="B58" s="70" t="s">
        <v>121</v>
      </c>
      <c r="C58" s="71" t="s">
        <v>142</v>
      </c>
      <c r="D58" s="4">
        <v>0</v>
      </c>
      <c r="E58" s="90">
        <v>0</v>
      </c>
      <c r="F58" s="4"/>
      <c r="G58" s="4"/>
      <c r="H58" s="4"/>
      <c r="I58" s="2">
        <f t="shared" si="3"/>
        <v>0</v>
      </c>
      <c r="J58" s="4">
        <f t="shared" ref="J58:J59" si="22">K58+L58+M58+N58</f>
        <v>0</v>
      </c>
      <c r="K58" s="102"/>
      <c r="L58" s="4"/>
      <c r="M58" s="4"/>
      <c r="N58" s="4"/>
      <c r="O58" s="4">
        <v>0</v>
      </c>
      <c r="P58" s="4"/>
      <c r="Q58" s="4"/>
      <c r="R58" s="4"/>
      <c r="S58" s="2">
        <f t="shared" si="4"/>
        <v>0</v>
      </c>
      <c r="T58" s="4">
        <f t="shared" si="16"/>
        <v>0</v>
      </c>
      <c r="U58" s="4">
        <v>0</v>
      </c>
      <c r="V58" s="4">
        <v>0</v>
      </c>
      <c r="W58" s="4">
        <v>0</v>
      </c>
      <c r="X58" s="4"/>
      <c r="Y58" s="102"/>
      <c r="Z58" s="2"/>
      <c r="AA58" s="2">
        <f>J58-E58</f>
        <v>0</v>
      </c>
      <c r="AB58" s="52" t="e">
        <f t="shared" ref="AB58" si="23">AA58/E58</f>
        <v>#DIV/0!</v>
      </c>
      <c r="AC58" s="3"/>
      <c r="AD58" s="3"/>
      <c r="AE58" s="4"/>
    </row>
    <row r="59" spans="1:132" ht="47.25" x14ac:dyDescent="0.25">
      <c r="A59" s="38" t="s">
        <v>257</v>
      </c>
      <c r="B59" s="70" t="s">
        <v>255</v>
      </c>
      <c r="C59" s="71" t="s">
        <v>256</v>
      </c>
      <c r="D59" s="4">
        <v>0</v>
      </c>
      <c r="E59" s="90">
        <v>0</v>
      </c>
      <c r="F59" s="4"/>
      <c r="G59" s="4"/>
      <c r="H59" s="4"/>
      <c r="I59" s="2"/>
      <c r="J59" s="4">
        <f t="shared" si="22"/>
        <v>1.9794068300000001</v>
      </c>
      <c r="K59" s="102">
        <f>1880436.48/1000000</f>
        <v>1.88043648</v>
      </c>
      <c r="L59" s="4">
        <v>9.8970350000000012E-2</v>
      </c>
      <c r="M59" s="4"/>
      <c r="N59" s="4"/>
      <c r="O59" s="4">
        <v>0</v>
      </c>
      <c r="P59" s="4"/>
      <c r="Q59" s="4"/>
      <c r="R59" s="4"/>
      <c r="S59" s="2">
        <f t="shared" ref="S59" si="24">O59</f>
        <v>0</v>
      </c>
      <c r="T59" s="4">
        <f t="shared" ref="T59" si="25">U59+V59+W59+X59</f>
        <v>1.64950569</v>
      </c>
      <c r="U59" s="102">
        <f>1649505.69/1000000</f>
        <v>1.64950569</v>
      </c>
      <c r="V59" s="4">
        <v>0</v>
      </c>
      <c r="W59" s="4">
        <v>0</v>
      </c>
      <c r="X59" s="4"/>
      <c r="Y59" s="102"/>
      <c r="Z59" s="2"/>
      <c r="AA59" s="2"/>
      <c r="AB59" s="52"/>
      <c r="AC59" s="3"/>
      <c r="AD59" s="3"/>
      <c r="AE59" s="4"/>
    </row>
    <row r="60" spans="1:132" ht="31.5" hidden="1" x14ac:dyDescent="0.25">
      <c r="A60" s="61" t="s">
        <v>98</v>
      </c>
      <c r="B60" s="66" t="s">
        <v>62</v>
      </c>
      <c r="C60" s="66"/>
      <c r="D60" s="2">
        <v>0</v>
      </c>
      <c r="E60" s="88"/>
      <c r="F60" s="2"/>
      <c r="G60" s="2"/>
      <c r="H60" s="2"/>
      <c r="I60" s="2">
        <f t="shared" si="3"/>
        <v>0</v>
      </c>
      <c r="J60" s="3"/>
      <c r="K60" s="101"/>
      <c r="L60" s="3"/>
      <c r="M60" s="3"/>
      <c r="N60" s="3"/>
      <c r="O60" s="3"/>
      <c r="P60" s="3"/>
      <c r="Q60" s="3"/>
      <c r="R60" s="3"/>
      <c r="S60" s="2">
        <f t="shared" si="4"/>
        <v>0</v>
      </c>
      <c r="T60" s="2"/>
      <c r="U60" s="100"/>
      <c r="V60" s="2"/>
      <c r="W60" s="2"/>
      <c r="X60" s="2"/>
      <c r="Y60" s="100"/>
      <c r="Z60" s="2">
        <f t="shared" ref="Z60:Z74" si="26">E60-J60</f>
        <v>0</v>
      </c>
      <c r="AA60" s="2">
        <f t="shared" ref="AA60:AA74" si="27">J60-E60</f>
        <v>0</v>
      </c>
      <c r="AB60" s="52" t="e">
        <f t="shared" ref="AB60:AB72" si="28">AA60/E60</f>
        <v>#DIV/0!</v>
      </c>
      <c r="AC60" s="3"/>
      <c r="AD60" s="3"/>
      <c r="AE60" s="2"/>
    </row>
    <row r="61" spans="1:132" ht="31.5" hidden="1" x14ac:dyDescent="0.25">
      <c r="A61" s="75" t="s">
        <v>99</v>
      </c>
      <c r="B61" s="62" t="s">
        <v>63</v>
      </c>
      <c r="C61" s="62"/>
      <c r="D61" s="3">
        <v>0</v>
      </c>
      <c r="E61" s="89"/>
      <c r="F61" s="3"/>
      <c r="G61" s="3"/>
      <c r="H61" s="3"/>
      <c r="I61" s="2">
        <f t="shared" si="3"/>
        <v>0</v>
      </c>
      <c r="J61" s="3"/>
      <c r="K61" s="101"/>
      <c r="L61" s="3"/>
      <c r="M61" s="3"/>
      <c r="N61" s="3"/>
      <c r="O61" s="3"/>
      <c r="P61" s="3"/>
      <c r="Q61" s="3"/>
      <c r="R61" s="3"/>
      <c r="S61" s="2">
        <f t="shared" si="4"/>
        <v>0</v>
      </c>
      <c r="T61" s="3"/>
      <c r="U61" s="101"/>
      <c r="V61" s="3"/>
      <c r="W61" s="3"/>
      <c r="X61" s="3"/>
      <c r="Y61" s="101"/>
      <c r="Z61" s="2">
        <f t="shared" si="26"/>
        <v>0</v>
      </c>
      <c r="AA61" s="2">
        <f t="shared" si="27"/>
        <v>0</v>
      </c>
      <c r="AB61" s="52" t="e">
        <f t="shared" si="28"/>
        <v>#DIV/0!</v>
      </c>
      <c r="AC61" s="3"/>
      <c r="AD61" s="3"/>
      <c r="AE61" s="72"/>
    </row>
    <row r="62" spans="1:132" s="69" customFormat="1" ht="31.5" hidden="1" x14ac:dyDescent="0.25">
      <c r="A62" s="75" t="s">
        <v>100</v>
      </c>
      <c r="B62" s="62" t="s">
        <v>64</v>
      </c>
      <c r="C62" s="62"/>
      <c r="D62" s="3">
        <v>0</v>
      </c>
      <c r="E62" s="89"/>
      <c r="F62" s="3"/>
      <c r="G62" s="3"/>
      <c r="H62" s="3"/>
      <c r="I62" s="2">
        <f t="shared" si="3"/>
        <v>0</v>
      </c>
      <c r="J62" s="3"/>
      <c r="K62" s="101"/>
      <c r="L62" s="3"/>
      <c r="M62" s="3"/>
      <c r="N62" s="3"/>
      <c r="O62" s="3"/>
      <c r="P62" s="3"/>
      <c r="Q62" s="3"/>
      <c r="R62" s="3"/>
      <c r="S62" s="2">
        <f t="shared" si="4"/>
        <v>0</v>
      </c>
      <c r="T62" s="3"/>
      <c r="U62" s="101"/>
      <c r="V62" s="3"/>
      <c r="W62" s="3"/>
      <c r="X62" s="3"/>
      <c r="Y62" s="101"/>
      <c r="Z62" s="2">
        <f t="shared" si="26"/>
        <v>0</v>
      </c>
      <c r="AA62" s="2">
        <f t="shared" si="27"/>
        <v>0</v>
      </c>
      <c r="AB62" s="52" t="e">
        <f t="shared" si="28"/>
        <v>#DIV/0!</v>
      </c>
      <c r="AC62" s="3"/>
      <c r="AD62" s="3"/>
      <c r="AE62" s="76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</row>
    <row r="63" spans="1:132" s="69" customFormat="1" ht="15.75" hidden="1" x14ac:dyDescent="0.25">
      <c r="A63" s="77" t="s">
        <v>101</v>
      </c>
      <c r="B63" s="62" t="s">
        <v>65</v>
      </c>
      <c r="C63" s="62"/>
      <c r="D63" s="2">
        <v>0</v>
      </c>
      <c r="E63" s="88"/>
      <c r="F63" s="2"/>
      <c r="G63" s="2"/>
      <c r="H63" s="2"/>
      <c r="I63" s="2">
        <f t="shared" si="3"/>
        <v>0</v>
      </c>
      <c r="J63" s="3"/>
      <c r="K63" s="101"/>
      <c r="L63" s="3"/>
      <c r="M63" s="3"/>
      <c r="N63" s="3"/>
      <c r="O63" s="3"/>
      <c r="P63" s="3"/>
      <c r="Q63" s="3"/>
      <c r="R63" s="3"/>
      <c r="S63" s="2">
        <f t="shared" si="4"/>
        <v>0</v>
      </c>
      <c r="T63" s="2"/>
      <c r="U63" s="100"/>
      <c r="V63" s="2"/>
      <c r="W63" s="2"/>
      <c r="X63" s="2"/>
      <c r="Y63" s="100"/>
      <c r="Z63" s="2">
        <f t="shared" si="26"/>
        <v>0</v>
      </c>
      <c r="AA63" s="2">
        <f t="shared" si="27"/>
        <v>0</v>
      </c>
      <c r="AB63" s="52" t="e">
        <f t="shared" si="28"/>
        <v>#DIV/0!</v>
      </c>
      <c r="AC63" s="3"/>
      <c r="AD63" s="3"/>
      <c r="AE63" s="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</row>
    <row r="64" spans="1:132" ht="31.5" hidden="1" collapsed="1" x14ac:dyDescent="0.25">
      <c r="A64" s="75" t="s">
        <v>102</v>
      </c>
      <c r="B64" s="62" t="s">
        <v>63</v>
      </c>
      <c r="C64" s="62"/>
      <c r="D64" s="3">
        <v>0</v>
      </c>
      <c r="E64" s="89"/>
      <c r="F64" s="3"/>
      <c r="G64" s="3"/>
      <c r="H64" s="3"/>
      <c r="I64" s="2">
        <f t="shared" si="3"/>
        <v>0</v>
      </c>
      <c r="J64" s="3"/>
      <c r="K64" s="101"/>
      <c r="L64" s="3"/>
      <c r="M64" s="3"/>
      <c r="N64" s="3"/>
      <c r="O64" s="3"/>
      <c r="P64" s="3"/>
      <c r="Q64" s="3"/>
      <c r="R64" s="3"/>
      <c r="S64" s="2">
        <f t="shared" si="4"/>
        <v>0</v>
      </c>
      <c r="T64" s="3"/>
      <c r="U64" s="101"/>
      <c r="V64" s="3"/>
      <c r="W64" s="3"/>
      <c r="X64" s="3"/>
      <c r="Y64" s="101"/>
      <c r="Z64" s="2">
        <f t="shared" si="26"/>
        <v>0</v>
      </c>
      <c r="AA64" s="2">
        <f t="shared" si="27"/>
        <v>0</v>
      </c>
      <c r="AB64" s="52" t="e">
        <f t="shared" si="28"/>
        <v>#DIV/0!</v>
      </c>
      <c r="AC64" s="3"/>
      <c r="AD64" s="3"/>
      <c r="AE64" s="3"/>
    </row>
    <row r="65" spans="1:32" ht="31.5" hidden="1" x14ac:dyDescent="0.25">
      <c r="A65" s="78" t="s">
        <v>103</v>
      </c>
      <c r="B65" s="79" t="s">
        <v>64</v>
      </c>
      <c r="C65" s="79"/>
      <c r="D65" s="3">
        <v>0</v>
      </c>
      <c r="E65" s="89"/>
      <c r="F65" s="3"/>
      <c r="G65" s="3"/>
      <c r="H65" s="3"/>
      <c r="I65" s="2">
        <f t="shared" si="3"/>
        <v>0</v>
      </c>
      <c r="J65" s="3"/>
      <c r="K65" s="101"/>
      <c r="L65" s="3"/>
      <c r="M65" s="3"/>
      <c r="N65" s="3"/>
      <c r="O65" s="3"/>
      <c r="P65" s="3"/>
      <c r="Q65" s="3"/>
      <c r="R65" s="3"/>
      <c r="S65" s="2">
        <f t="shared" si="4"/>
        <v>0</v>
      </c>
      <c r="T65" s="3"/>
      <c r="U65" s="101"/>
      <c r="V65" s="3"/>
      <c r="W65" s="3"/>
      <c r="X65" s="3"/>
      <c r="Y65" s="101"/>
      <c r="Z65" s="2">
        <f t="shared" si="26"/>
        <v>0</v>
      </c>
      <c r="AA65" s="2">
        <f t="shared" si="27"/>
        <v>0</v>
      </c>
      <c r="AB65" s="52" t="e">
        <f t="shared" si="28"/>
        <v>#DIV/0!</v>
      </c>
      <c r="AC65" s="3"/>
      <c r="AD65" s="3"/>
      <c r="AE65" s="3"/>
    </row>
    <row r="66" spans="1:32" ht="15.75" x14ac:dyDescent="0.25">
      <c r="A66" s="61" t="s">
        <v>104</v>
      </c>
      <c r="B66" s="62" t="s">
        <v>66</v>
      </c>
      <c r="C66" s="62" t="s">
        <v>139</v>
      </c>
      <c r="D66" s="2">
        <f>D67+D72</f>
        <v>5258.8289576723682</v>
      </c>
      <c r="E66" s="88">
        <f>E67+E72</f>
        <v>2422.3513800299997</v>
      </c>
      <c r="F66" s="2"/>
      <c r="G66" s="2"/>
      <c r="H66" s="2"/>
      <c r="I66" s="2">
        <f t="shared" si="3"/>
        <v>2422.3513800299997</v>
      </c>
      <c r="J66" s="2">
        <f>J67+J72</f>
        <v>1166.5877445279998</v>
      </c>
      <c r="K66" s="100">
        <f t="shared" ref="K66:N66" si="29">K67+K72</f>
        <v>46.700242278000005</v>
      </c>
      <c r="L66" s="2">
        <f t="shared" si="29"/>
        <v>344.32466549999998</v>
      </c>
      <c r="M66" s="2">
        <f t="shared" si="29"/>
        <v>775.56283674999986</v>
      </c>
      <c r="N66" s="2">
        <f t="shared" si="29"/>
        <v>0</v>
      </c>
      <c r="O66" s="2">
        <f t="shared" ref="O66:X66" si="30">O67+O72</f>
        <v>3588.1480157879332</v>
      </c>
      <c r="P66" s="2">
        <f t="shared" si="30"/>
        <v>0</v>
      </c>
      <c r="Q66" s="2">
        <f t="shared" si="30"/>
        <v>0</v>
      </c>
      <c r="R66" s="2">
        <f t="shared" si="30"/>
        <v>0</v>
      </c>
      <c r="S66" s="2">
        <f t="shared" si="4"/>
        <v>3588.1480157879332</v>
      </c>
      <c r="T66" s="2">
        <f t="shared" si="30"/>
        <v>1743.56048661</v>
      </c>
      <c r="U66" s="100">
        <f t="shared" si="30"/>
        <v>102.43172956999999</v>
      </c>
      <c r="V66" s="2">
        <f t="shared" si="30"/>
        <v>549.77260081999998</v>
      </c>
      <c r="W66" s="2">
        <f t="shared" si="30"/>
        <v>1091.35615622</v>
      </c>
      <c r="X66" s="2">
        <f t="shared" si="30"/>
        <v>0</v>
      </c>
      <c r="Y66" s="100">
        <f>Y67</f>
        <v>0</v>
      </c>
      <c r="Z66" s="2">
        <f t="shared" si="26"/>
        <v>1255.7636355019999</v>
      </c>
      <c r="AA66" s="2">
        <f t="shared" si="27"/>
        <v>-1255.7636355019999</v>
      </c>
      <c r="AB66" s="52">
        <f t="shared" si="28"/>
        <v>-0.51840688591035367</v>
      </c>
      <c r="AC66" s="3"/>
      <c r="AD66" s="3"/>
      <c r="AE66" s="3"/>
    </row>
    <row r="67" spans="1:32" ht="31.5" x14ac:dyDescent="0.25">
      <c r="A67" s="80" t="s">
        <v>105</v>
      </c>
      <c r="B67" s="81" t="s">
        <v>31</v>
      </c>
      <c r="C67" s="62" t="s">
        <v>139</v>
      </c>
      <c r="D67" s="2">
        <f>SUM(D68:D69)</f>
        <v>4075.2974260723681</v>
      </c>
      <c r="E67" s="88">
        <f>SUM(E68:E69)</f>
        <v>1628.953826072368</v>
      </c>
      <c r="F67" s="2"/>
      <c r="G67" s="2"/>
      <c r="H67" s="2"/>
      <c r="I67" s="2">
        <f t="shared" si="3"/>
        <v>1628.953826072368</v>
      </c>
      <c r="J67" s="2">
        <f>SUM(J68:J69)</f>
        <v>608.91997068800003</v>
      </c>
      <c r="K67" s="100">
        <f t="shared" ref="K67:N67" si="31">SUM(K68:K69)</f>
        <v>34.411314668000003</v>
      </c>
      <c r="L67" s="2">
        <f t="shared" si="31"/>
        <v>167.71086704000001</v>
      </c>
      <c r="M67" s="2">
        <f t="shared" si="31"/>
        <v>406.79778897999995</v>
      </c>
      <c r="N67" s="2">
        <f t="shared" si="31"/>
        <v>0</v>
      </c>
      <c r="O67" s="2">
        <f>SUM(O68:O69)</f>
        <v>1613.797749123333</v>
      </c>
      <c r="P67" s="2">
        <f t="shared" ref="P67:X67" si="32">SUM(P68:P69)</f>
        <v>0</v>
      </c>
      <c r="Q67" s="2">
        <f t="shared" si="32"/>
        <v>0</v>
      </c>
      <c r="R67" s="2">
        <f t="shared" si="32"/>
        <v>0</v>
      </c>
      <c r="S67" s="2">
        <f t="shared" si="4"/>
        <v>1613.797749123333</v>
      </c>
      <c r="T67" s="2">
        <f t="shared" si="32"/>
        <v>725.05278706000001</v>
      </c>
      <c r="U67" s="100">
        <f t="shared" si="32"/>
        <v>47.472509959999996</v>
      </c>
      <c r="V67" s="2">
        <f t="shared" si="32"/>
        <v>295.11003850999998</v>
      </c>
      <c r="W67" s="2">
        <f t="shared" si="32"/>
        <v>382.47023859000001</v>
      </c>
      <c r="X67" s="2">
        <f t="shared" si="32"/>
        <v>0</v>
      </c>
      <c r="Y67" s="100">
        <v>0</v>
      </c>
      <c r="Z67" s="2">
        <f t="shared" si="26"/>
        <v>1020.0338553843679</v>
      </c>
      <c r="AA67" s="2">
        <f t="shared" si="27"/>
        <v>-1020.0338553843679</v>
      </c>
      <c r="AB67" s="52">
        <f t="shared" si="28"/>
        <v>-0.62618954512898017</v>
      </c>
      <c r="AC67" s="3"/>
      <c r="AD67" s="3"/>
      <c r="AE67" s="3"/>
      <c r="AF67" s="82"/>
    </row>
    <row r="68" spans="1:32" ht="31.5" x14ac:dyDescent="0.25">
      <c r="A68" s="38" t="s">
        <v>106</v>
      </c>
      <c r="B68" s="70" t="s">
        <v>206</v>
      </c>
      <c r="C68" s="71" t="s">
        <v>136</v>
      </c>
      <c r="D68" s="3">
        <v>3313.8476000000001</v>
      </c>
      <c r="E68" s="89">
        <v>867.50400000000002</v>
      </c>
      <c r="F68" s="3"/>
      <c r="G68" s="3"/>
      <c r="H68" s="3"/>
      <c r="I68" s="2">
        <f t="shared" si="3"/>
        <v>867.50400000000002</v>
      </c>
      <c r="J68" s="3">
        <f t="shared" ref="J68:J69" si="33">K68+L68+M68+N68</f>
        <v>15.558957929999998</v>
      </c>
      <c r="K68" s="101">
        <f>4218477.57/1000000</f>
        <v>4.2184775700000001</v>
      </c>
      <c r="L68" s="3">
        <v>4.7014718099999993</v>
      </c>
      <c r="M68" s="3">
        <f>6639008.55/1000000</f>
        <v>6.6390085499999998</v>
      </c>
      <c r="N68" s="3"/>
      <c r="O68" s="3">
        <v>756.363333333333</v>
      </c>
      <c r="P68" s="3"/>
      <c r="Q68" s="3"/>
      <c r="R68" s="3"/>
      <c r="S68" s="2">
        <f t="shared" si="4"/>
        <v>756.363333333333</v>
      </c>
      <c r="T68" s="3">
        <f t="shared" ref="T68:T69" si="34">U68+V68+W68+X68</f>
        <v>15.155296480000001</v>
      </c>
      <c r="U68" s="101">
        <f>4138126.74/1000000</f>
        <v>4.1381267400000006</v>
      </c>
      <c r="V68" s="3">
        <v>5.5107470100000002</v>
      </c>
      <c r="W68" s="3">
        <f>15.15529648-U68-V68</f>
        <v>5.5064227299999997</v>
      </c>
      <c r="X68" s="3"/>
      <c r="Y68" s="101"/>
      <c r="Z68" s="2">
        <f t="shared" si="26"/>
        <v>851.94504207</v>
      </c>
      <c r="AA68" s="2">
        <f t="shared" si="27"/>
        <v>-851.94504207</v>
      </c>
      <c r="AB68" s="52">
        <f t="shared" si="28"/>
        <v>-0.98206468450865936</v>
      </c>
      <c r="AC68" s="3"/>
      <c r="AD68" s="3"/>
      <c r="AE68" s="3"/>
    </row>
    <row r="69" spans="1:32" ht="31.5" x14ac:dyDescent="0.25">
      <c r="A69" s="38" t="s">
        <v>112</v>
      </c>
      <c r="B69" s="70" t="s">
        <v>207</v>
      </c>
      <c r="C69" s="71" t="s">
        <v>137</v>
      </c>
      <c r="D69" s="3">
        <v>761.44982607236807</v>
      </c>
      <c r="E69" s="89">
        <v>761.44982607236796</v>
      </c>
      <c r="F69" s="3"/>
      <c r="G69" s="3"/>
      <c r="H69" s="3"/>
      <c r="I69" s="2">
        <f t="shared" si="3"/>
        <v>761.44982607236796</v>
      </c>
      <c r="J69" s="3">
        <f t="shared" si="33"/>
        <v>593.36101275800002</v>
      </c>
      <c r="K69" s="101">
        <f>30192837.098/1000000</f>
        <v>30.192837098000002</v>
      </c>
      <c r="L69" s="3">
        <v>163.00939523000002</v>
      </c>
      <c r="M69" s="3">
        <f>400158780.43/1000000</f>
        <v>400.15878042999998</v>
      </c>
      <c r="N69" s="3"/>
      <c r="O69" s="3">
        <v>857.43441579</v>
      </c>
      <c r="P69" s="3"/>
      <c r="Q69" s="3"/>
      <c r="R69" s="3"/>
      <c r="S69" s="2">
        <f t="shared" si="4"/>
        <v>857.43441579</v>
      </c>
      <c r="T69" s="3">
        <f t="shared" si="34"/>
        <v>709.89749058000007</v>
      </c>
      <c r="U69" s="101">
        <f>43334383.22/1000000</f>
        <v>43.334383219999999</v>
      </c>
      <c r="V69" s="3">
        <v>289.59929149999999</v>
      </c>
      <c r="W69" s="3">
        <f>709.89749058-U69-V69</f>
        <v>376.96381586000001</v>
      </c>
      <c r="X69" s="3"/>
      <c r="Y69" s="101"/>
      <c r="Z69" s="2">
        <f t="shared" si="26"/>
        <v>168.08881331436794</v>
      </c>
      <c r="AA69" s="2">
        <f t="shared" si="27"/>
        <v>-168.08881331436794</v>
      </c>
      <c r="AB69" s="52">
        <f t="shared" si="28"/>
        <v>-0.22074837705510597</v>
      </c>
      <c r="AC69" s="3"/>
      <c r="AD69" s="3"/>
      <c r="AE69" s="3"/>
    </row>
    <row r="70" spans="1:32" ht="15.75" hidden="1" x14ac:dyDescent="0.25">
      <c r="A70" s="61" t="s">
        <v>107</v>
      </c>
      <c r="B70" s="62" t="s">
        <v>67</v>
      </c>
      <c r="C70" s="62"/>
      <c r="D70" s="2">
        <v>0</v>
      </c>
      <c r="E70" s="88"/>
      <c r="F70" s="2"/>
      <c r="G70" s="2"/>
      <c r="H70" s="2"/>
      <c r="I70" s="2">
        <f t="shared" si="3"/>
        <v>0</v>
      </c>
      <c r="J70" s="3"/>
      <c r="K70" s="101"/>
      <c r="L70" s="3"/>
      <c r="M70" s="3"/>
      <c r="N70" s="3"/>
      <c r="O70" s="3"/>
      <c r="P70" s="3"/>
      <c r="Q70" s="3"/>
      <c r="R70" s="3"/>
      <c r="S70" s="2">
        <f t="shared" si="4"/>
        <v>0</v>
      </c>
      <c r="T70" s="2"/>
      <c r="U70" s="100"/>
      <c r="V70" s="2"/>
      <c r="W70" s="2"/>
      <c r="X70" s="2"/>
      <c r="Y70" s="100"/>
      <c r="Z70" s="2">
        <f t="shared" si="26"/>
        <v>0</v>
      </c>
      <c r="AA70" s="2">
        <f t="shared" si="27"/>
        <v>0</v>
      </c>
      <c r="AB70" s="52" t="e">
        <f t="shared" si="28"/>
        <v>#DIV/0!</v>
      </c>
      <c r="AC70" s="3"/>
      <c r="AD70" s="3"/>
      <c r="AE70" s="2"/>
    </row>
    <row r="71" spans="1:32" ht="15.75" hidden="1" x14ac:dyDescent="0.25">
      <c r="A71" s="61" t="s">
        <v>108</v>
      </c>
      <c r="B71" s="62" t="s">
        <v>68</v>
      </c>
      <c r="C71" s="62"/>
      <c r="D71" s="3">
        <v>0</v>
      </c>
      <c r="E71" s="89"/>
      <c r="F71" s="3"/>
      <c r="G71" s="3"/>
      <c r="H71" s="3"/>
      <c r="I71" s="2">
        <f t="shared" si="3"/>
        <v>0</v>
      </c>
      <c r="J71" s="3"/>
      <c r="K71" s="101"/>
      <c r="L71" s="3"/>
      <c r="M71" s="3"/>
      <c r="N71" s="3"/>
      <c r="O71" s="3"/>
      <c r="P71" s="3"/>
      <c r="Q71" s="3"/>
      <c r="R71" s="3"/>
      <c r="S71" s="2">
        <f t="shared" si="4"/>
        <v>0</v>
      </c>
      <c r="T71" s="3"/>
      <c r="U71" s="101"/>
      <c r="V71" s="3"/>
      <c r="W71" s="3"/>
      <c r="X71" s="3"/>
      <c r="Y71" s="101"/>
      <c r="Z71" s="2">
        <f t="shared" si="26"/>
        <v>0</v>
      </c>
      <c r="AA71" s="2">
        <f t="shared" si="27"/>
        <v>0</v>
      </c>
      <c r="AB71" s="52" t="e">
        <f t="shared" si="28"/>
        <v>#DIV/0!</v>
      </c>
      <c r="AC71" s="3"/>
      <c r="AD71" s="3"/>
      <c r="AE71" s="3"/>
    </row>
    <row r="72" spans="1:32" ht="15.75" x14ac:dyDescent="0.25">
      <c r="A72" s="61" t="s">
        <v>109</v>
      </c>
      <c r="B72" s="62" t="s">
        <v>69</v>
      </c>
      <c r="C72" s="62" t="s">
        <v>139</v>
      </c>
      <c r="D72" s="2">
        <f>D73</f>
        <v>1183.5315315999999</v>
      </c>
      <c r="E72" s="88">
        <f>E73</f>
        <v>793.397553957632</v>
      </c>
      <c r="F72" s="2"/>
      <c r="G72" s="2"/>
      <c r="H72" s="2"/>
      <c r="I72" s="2">
        <f t="shared" si="3"/>
        <v>793.397553957632</v>
      </c>
      <c r="J72" s="2">
        <f t="shared" ref="J72:Y72" si="35">J73</f>
        <v>557.66777383999988</v>
      </c>
      <c r="K72" s="100">
        <f t="shared" si="35"/>
        <v>12.28892761</v>
      </c>
      <c r="L72" s="2">
        <f t="shared" si="35"/>
        <v>176.61379845999997</v>
      </c>
      <c r="M72" s="2">
        <f t="shared" si="35"/>
        <v>368.76504776999997</v>
      </c>
      <c r="N72" s="2">
        <f t="shared" si="35"/>
        <v>0</v>
      </c>
      <c r="O72" s="2">
        <f t="shared" si="35"/>
        <v>1974.3502666646</v>
      </c>
      <c r="P72" s="2">
        <f t="shared" si="35"/>
        <v>0</v>
      </c>
      <c r="Q72" s="2">
        <f t="shared" si="35"/>
        <v>0</v>
      </c>
      <c r="R72" s="2">
        <f t="shared" si="35"/>
        <v>0</v>
      </c>
      <c r="S72" s="2">
        <f t="shared" si="4"/>
        <v>1974.3502666646</v>
      </c>
      <c r="T72" s="2">
        <f t="shared" si="35"/>
        <v>1018.50769955</v>
      </c>
      <c r="U72" s="100">
        <f t="shared" si="35"/>
        <v>54.959219609999998</v>
      </c>
      <c r="V72" s="2">
        <f t="shared" si="35"/>
        <v>254.66256231</v>
      </c>
      <c r="W72" s="2">
        <f t="shared" si="35"/>
        <v>708.88591762999999</v>
      </c>
      <c r="X72" s="2">
        <f t="shared" si="35"/>
        <v>0</v>
      </c>
      <c r="Y72" s="100">
        <f t="shared" si="35"/>
        <v>0</v>
      </c>
      <c r="Z72" s="2">
        <f t="shared" si="26"/>
        <v>235.72978011763212</v>
      </c>
      <c r="AA72" s="2">
        <f t="shared" si="27"/>
        <v>-235.72978011763212</v>
      </c>
      <c r="AB72" s="52">
        <f t="shared" si="28"/>
        <v>-0.2971143267858124</v>
      </c>
      <c r="AC72" s="3"/>
      <c r="AD72" s="3"/>
      <c r="AE72" s="72"/>
    </row>
    <row r="73" spans="1:32" ht="31.5" x14ac:dyDescent="0.25">
      <c r="A73" s="38" t="s">
        <v>116</v>
      </c>
      <c r="B73" s="65" t="s">
        <v>117</v>
      </c>
      <c r="C73" s="71" t="s">
        <v>138</v>
      </c>
      <c r="D73" s="3">
        <v>1183.5315315999999</v>
      </c>
      <c r="E73" s="89">
        <v>793.397553957632</v>
      </c>
      <c r="F73" s="3"/>
      <c r="G73" s="3"/>
      <c r="H73" s="3"/>
      <c r="I73" s="2">
        <f t="shared" si="3"/>
        <v>793.397553957632</v>
      </c>
      <c r="J73" s="3">
        <f t="shared" ref="J73" si="36">K73+L73+M73+N73</f>
        <v>557.66777383999988</v>
      </c>
      <c r="K73" s="101">
        <f>12288927.61/1000000</f>
        <v>12.28892761</v>
      </c>
      <c r="L73" s="3">
        <v>176.61379845999997</v>
      </c>
      <c r="M73" s="3">
        <f>368765047.77/1000000</f>
        <v>368.76504776999997</v>
      </c>
      <c r="N73" s="3"/>
      <c r="O73" s="3">
        <v>1974.3502666646</v>
      </c>
      <c r="P73" s="3"/>
      <c r="Q73" s="3"/>
      <c r="R73" s="3"/>
      <c r="S73" s="2">
        <f t="shared" si="4"/>
        <v>1974.3502666646</v>
      </c>
      <c r="T73" s="3">
        <f t="shared" ref="T73" si="37">U73+V73+W73+X73</f>
        <v>1018.50769955</v>
      </c>
      <c r="U73" s="101">
        <f>54959219.61/1000000</f>
        <v>54.959219609999998</v>
      </c>
      <c r="V73" s="3">
        <v>254.66256231</v>
      </c>
      <c r="W73" s="3">
        <f>1018.50769955-U73-V73</f>
        <v>708.88591762999999</v>
      </c>
      <c r="X73" s="3"/>
      <c r="Y73" s="101"/>
      <c r="Z73" s="2">
        <f>E73-J73</f>
        <v>235.72978011763212</v>
      </c>
      <c r="AA73" s="2">
        <f>J73-E73</f>
        <v>-235.72978011763212</v>
      </c>
      <c r="AB73" s="52">
        <f>AA73/E73</f>
        <v>-0.2971143267858124</v>
      </c>
      <c r="AC73" s="3"/>
      <c r="AD73" s="3"/>
      <c r="AE73" s="72"/>
    </row>
    <row r="74" spans="1:32" ht="31.5" hidden="1" x14ac:dyDescent="0.25">
      <c r="A74" s="83" t="s">
        <v>110</v>
      </c>
      <c r="B74" s="84" t="s">
        <v>70</v>
      </c>
      <c r="C74" s="84"/>
      <c r="D74" s="3">
        <v>0</v>
      </c>
      <c r="E74" s="89"/>
      <c r="F74" s="3"/>
      <c r="G74" s="3"/>
      <c r="H74" s="3"/>
      <c r="I74" s="2">
        <f t="shared" si="3"/>
        <v>0</v>
      </c>
      <c r="J74" s="3"/>
      <c r="K74" s="101"/>
      <c r="L74" s="3"/>
      <c r="M74" s="3"/>
      <c r="N74" s="3"/>
      <c r="O74" s="3"/>
      <c r="P74" s="3"/>
      <c r="Q74" s="3"/>
      <c r="R74" s="3"/>
      <c r="S74" s="2">
        <f t="shared" si="4"/>
        <v>0</v>
      </c>
      <c r="T74" s="3"/>
      <c r="U74" s="101"/>
      <c r="V74" s="3"/>
      <c r="W74" s="3"/>
      <c r="X74" s="3"/>
      <c r="Y74" s="101"/>
      <c r="Z74" s="2">
        <f t="shared" si="26"/>
        <v>0</v>
      </c>
      <c r="AA74" s="2">
        <f t="shared" si="27"/>
        <v>0</v>
      </c>
      <c r="AB74" s="52" t="e">
        <f t="shared" ref="AB74:AB76" si="38">AA74/E74</f>
        <v>#DIV/0!</v>
      </c>
      <c r="AC74" s="3"/>
      <c r="AD74" s="3"/>
      <c r="AE74" s="72"/>
    </row>
    <row r="75" spans="1:32" ht="15.75" x14ac:dyDescent="0.25">
      <c r="A75" s="61" t="s">
        <v>111</v>
      </c>
      <c r="B75" s="79" t="s">
        <v>71</v>
      </c>
      <c r="C75" s="62" t="s">
        <v>139</v>
      </c>
      <c r="D75" s="2">
        <f>SUM(D76:D111)</f>
        <v>11.031771115308</v>
      </c>
      <c r="E75" s="2">
        <f>SUM(E76:E111)</f>
        <v>1.9533515843999998</v>
      </c>
      <c r="F75" s="2">
        <f>SUM(F76:F111)</f>
        <v>0</v>
      </c>
      <c r="G75" s="2">
        <f>SUM(G76:G111)</f>
        <v>0</v>
      </c>
      <c r="H75" s="2">
        <f>SUM(H76:H111)</f>
        <v>0</v>
      </c>
      <c r="I75" s="2">
        <f>SUM(I76:I111)</f>
        <v>1.9533515843999998</v>
      </c>
      <c r="J75" s="2">
        <f>SUM(J76:J111)</f>
        <v>53.062627881999973</v>
      </c>
      <c r="K75" s="88">
        <f>SUM(K76:K111)</f>
        <v>32.029988862000003</v>
      </c>
      <c r="L75" s="2">
        <f>SUM(L76:L111)</f>
        <v>4.7608892000000003</v>
      </c>
      <c r="M75" s="2">
        <f>SUM(M76:M111)</f>
        <v>16.271749819999972</v>
      </c>
      <c r="N75" s="2">
        <f>SUM(N76:N111)</f>
        <v>0</v>
      </c>
      <c r="O75" s="2">
        <f>SUM(O76:O111)</f>
        <v>1.6277929869999999</v>
      </c>
      <c r="P75" s="2">
        <f>SUM(P76:P111)</f>
        <v>0</v>
      </c>
      <c r="Q75" s="2">
        <f>SUM(Q76:Q111)</f>
        <v>0</v>
      </c>
      <c r="R75" s="2">
        <f>SUM(R76:R111)</f>
        <v>0</v>
      </c>
      <c r="S75" s="2">
        <f>SUM(S76:S111)</f>
        <v>1.6277929869999999</v>
      </c>
      <c r="T75" s="2">
        <f>SUM(T76:T111)</f>
        <v>62.389825889999997</v>
      </c>
      <c r="U75" s="100">
        <f>SUM(U76:U111)</f>
        <v>24.690726629999997</v>
      </c>
      <c r="V75" s="2">
        <f>SUM(V76:V111)</f>
        <v>21.054541480000001</v>
      </c>
      <c r="W75" s="2">
        <f>SUM(W76:W111)</f>
        <v>16.64455778</v>
      </c>
      <c r="X75" s="2">
        <f>SUM(X76:X111)</f>
        <v>0</v>
      </c>
      <c r="Y75" s="2">
        <f>SUM(Y76:Y111)</f>
        <v>32.430992910000001</v>
      </c>
      <c r="Z75" s="2">
        <f>SUM(Z76:Z111)</f>
        <v>-51.109276297599976</v>
      </c>
      <c r="AA75" s="2">
        <f>SUM(AA76:AA111)</f>
        <v>51.109276297599976</v>
      </c>
      <c r="AB75" s="52">
        <f t="shared" si="38"/>
        <v>26.16491404096049</v>
      </c>
      <c r="AC75" s="3"/>
      <c r="AD75" s="3"/>
      <c r="AE75" s="72"/>
    </row>
    <row r="76" spans="1:32" ht="31.5" x14ac:dyDescent="0.25">
      <c r="A76" s="108" t="s">
        <v>183</v>
      </c>
      <c r="B76" s="107" t="s">
        <v>170</v>
      </c>
      <c r="C76" s="109" t="s">
        <v>171</v>
      </c>
      <c r="D76" s="91">
        <v>0</v>
      </c>
      <c r="E76" s="92">
        <v>0</v>
      </c>
      <c r="F76" s="46"/>
      <c r="G76" s="46"/>
      <c r="H76" s="46"/>
      <c r="I76" s="2">
        <f t="shared" si="3"/>
        <v>0</v>
      </c>
      <c r="J76" s="3">
        <f t="shared" ref="J76:J86" si="39">K76+L76+M76+N76</f>
        <v>0</v>
      </c>
      <c r="K76" s="103"/>
      <c r="L76" s="45"/>
      <c r="M76" s="45"/>
      <c r="N76" s="45"/>
      <c r="O76" s="94">
        <v>0</v>
      </c>
      <c r="P76" s="93"/>
      <c r="Q76" s="93"/>
      <c r="R76" s="93"/>
      <c r="S76" s="2">
        <f t="shared" si="4"/>
        <v>0</v>
      </c>
      <c r="T76" s="93">
        <f t="shared" ref="T76:T86" si="40">U76+V76+W76+X76</f>
        <v>0</v>
      </c>
      <c r="U76" s="2">
        <v>0</v>
      </c>
      <c r="V76" s="2">
        <v>0</v>
      </c>
      <c r="W76" s="2">
        <v>0</v>
      </c>
      <c r="X76" s="46"/>
      <c r="Y76" s="103"/>
      <c r="Z76" s="2">
        <f t="shared" ref="Z76:Z86" si="41">E76-J76</f>
        <v>0</v>
      </c>
      <c r="AA76" s="2">
        <f t="shared" ref="AA76:AA81" si="42">J76-E76</f>
        <v>0</v>
      </c>
      <c r="AB76" s="52" t="e">
        <f t="shared" si="38"/>
        <v>#DIV/0!</v>
      </c>
      <c r="AC76" s="46"/>
      <c r="AD76" s="46"/>
      <c r="AE76" s="53"/>
    </row>
    <row r="77" spans="1:32" ht="31.5" x14ac:dyDescent="0.25">
      <c r="A77" s="108" t="s">
        <v>184</v>
      </c>
      <c r="B77" s="107" t="s">
        <v>172</v>
      </c>
      <c r="C77" s="109" t="s">
        <v>173</v>
      </c>
      <c r="D77" s="91">
        <v>0</v>
      </c>
      <c r="E77" s="92">
        <v>0</v>
      </c>
      <c r="F77" s="46"/>
      <c r="G77" s="46"/>
      <c r="H77" s="46"/>
      <c r="I77" s="2">
        <f t="shared" si="3"/>
        <v>0</v>
      </c>
      <c r="J77" s="3">
        <f t="shared" si="39"/>
        <v>0</v>
      </c>
      <c r="K77" s="103"/>
      <c r="L77" s="45"/>
      <c r="M77" s="45"/>
      <c r="N77" s="45"/>
      <c r="O77" s="94">
        <v>0</v>
      </c>
      <c r="P77" s="93"/>
      <c r="Q77" s="93"/>
      <c r="R77" s="93"/>
      <c r="S77" s="2">
        <f t="shared" si="4"/>
        <v>0</v>
      </c>
      <c r="T77" s="93">
        <f t="shared" si="40"/>
        <v>0</v>
      </c>
      <c r="U77" s="2">
        <v>0</v>
      </c>
      <c r="V77" s="2">
        <v>0</v>
      </c>
      <c r="W77" s="2">
        <v>0</v>
      </c>
      <c r="X77" s="46"/>
      <c r="Y77" s="103"/>
      <c r="Z77" s="2">
        <f t="shared" si="41"/>
        <v>0</v>
      </c>
      <c r="AA77" s="2">
        <f t="shared" si="42"/>
        <v>0</v>
      </c>
      <c r="AB77" s="52" t="e">
        <f t="shared" ref="AB77:AB81" si="43">AA77/E77</f>
        <v>#DIV/0!</v>
      </c>
      <c r="AC77" s="46"/>
      <c r="AD77" s="46"/>
      <c r="AE77" s="53"/>
    </row>
    <row r="78" spans="1:32" ht="31.5" x14ac:dyDescent="0.25">
      <c r="A78" s="108" t="s">
        <v>185</v>
      </c>
      <c r="B78" s="107" t="s">
        <v>174</v>
      </c>
      <c r="C78" s="109" t="s">
        <v>175</v>
      </c>
      <c r="D78" s="91">
        <v>0</v>
      </c>
      <c r="E78" s="92">
        <v>0</v>
      </c>
      <c r="F78" s="46"/>
      <c r="G78" s="46"/>
      <c r="H78" s="46"/>
      <c r="I78" s="2">
        <f t="shared" si="3"/>
        <v>0</v>
      </c>
      <c r="J78" s="3">
        <f t="shared" si="39"/>
        <v>0</v>
      </c>
      <c r="K78" s="103"/>
      <c r="L78" s="45"/>
      <c r="M78" s="45"/>
      <c r="N78" s="45"/>
      <c r="O78" s="94">
        <v>0</v>
      </c>
      <c r="P78" s="93"/>
      <c r="Q78" s="93"/>
      <c r="R78" s="93"/>
      <c r="S78" s="2">
        <f t="shared" si="4"/>
        <v>0</v>
      </c>
      <c r="T78" s="93">
        <f t="shared" si="40"/>
        <v>0</v>
      </c>
      <c r="U78" s="2">
        <v>0</v>
      </c>
      <c r="V78" s="2">
        <v>0</v>
      </c>
      <c r="W78" s="2">
        <v>0</v>
      </c>
      <c r="X78" s="46"/>
      <c r="Y78" s="103"/>
      <c r="Z78" s="2">
        <f t="shared" si="41"/>
        <v>0</v>
      </c>
      <c r="AA78" s="2">
        <f t="shared" si="42"/>
        <v>0</v>
      </c>
      <c r="AB78" s="52" t="e">
        <f t="shared" si="43"/>
        <v>#DIV/0!</v>
      </c>
      <c r="AC78" s="46"/>
      <c r="AD78" s="46"/>
      <c r="AE78" s="53"/>
    </row>
    <row r="79" spans="1:32" ht="31.5" x14ac:dyDescent="0.25">
      <c r="A79" s="108" t="s">
        <v>186</v>
      </c>
      <c r="B79" s="107" t="s">
        <v>133</v>
      </c>
      <c r="C79" s="109" t="s">
        <v>134</v>
      </c>
      <c r="D79" s="91">
        <v>0</v>
      </c>
      <c r="E79" s="92">
        <v>0</v>
      </c>
      <c r="F79" s="46"/>
      <c r="G79" s="46"/>
      <c r="H79" s="46"/>
      <c r="I79" s="2">
        <f t="shared" si="3"/>
        <v>0</v>
      </c>
      <c r="J79" s="3">
        <f t="shared" si="39"/>
        <v>0</v>
      </c>
      <c r="K79" s="103"/>
      <c r="L79" s="45"/>
      <c r="M79" s="45"/>
      <c r="N79" s="45"/>
      <c r="O79" s="94">
        <v>0</v>
      </c>
      <c r="P79" s="93"/>
      <c r="Q79" s="93"/>
      <c r="R79" s="93"/>
      <c r="S79" s="2">
        <f t="shared" si="4"/>
        <v>0</v>
      </c>
      <c r="T79" s="93">
        <f t="shared" si="40"/>
        <v>0</v>
      </c>
      <c r="U79" s="2">
        <v>0</v>
      </c>
      <c r="V79" s="2">
        <v>0</v>
      </c>
      <c r="W79" s="2">
        <v>0</v>
      </c>
      <c r="X79" s="46"/>
      <c r="Y79" s="103"/>
      <c r="Z79" s="2">
        <f t="shared" si="41"/>
        <v>0</v>
      </c>
      <c r="AA79" s="2">
        <f t="shared" si="42"/>
        <v>0</v>
      </c>
      <c r="AB79" s="52" t="e">
        <f t="shared" si="43"/>
        <v>#DIV/0!</v>
      </c>
      <c r="AC79" s="46"/>
      <c r="AD79" s="46"/>
      <c r="AE79" s="53" t="s">
        <v>200</v>
      </c>
    </row>
    <row r="80" spans="1:32" ht="31.5" x14ac:dyDescent="0.25">
      <c r="A80" s="108" t="s">
        <v>187</v>
      </c>
      <c r="B80" s="107" t="s">
        <v>176</v>
      </c>
      <c r="C80" s="109" t="s">
        <v>144</v>
      </c>
      <c r="D80" s="91">
        <v>0</v>
      </c>
      <c r="E80" s="92">
        <v>0</v>
      </c>
      <c r="F80" s="46"/>
      <c r="G80" s="46"/>
      <c r="H80" s="46"/>
      <c r="I80" s="2">
        <f t="shared" si="3"/>
        <v>0</v>
      </c>
      <c r="J80" s="3">
        <f t="shared" si="39"/>
        <v>0</v>
      </c>
      <c r="K80" s="103"/>
      <c r="L80" s="45"/>
      <c r="M80" s="45"/>
      <c r="N80" s="45"/>
      <c r="O80" s="94">
        <v>0</v>
      </c>
      <c r="P80" s="93"/>
      <c r="Q80" s="93"/>
      <c r="R80" s="93"/>
      <c r="S80" s="2">
        <f t="shared" si="4"/>
        <v>0</v>
      </c>
      <c r="T80" s="93">
        <f t="shared" si="40"/>
        <v>0</v>
      </c>
      <c r="U80" s="2">
        <v>0</v>
      </c>
      <c r="V80" s="2">
        <v>0</v>
      </c>
      <c r="W80" s="2">
        <v>0</v>
      </c>
      <c r="X80" s="46"/>
      <c r="Y80" s="103"/>
      <c r="Z80" s="2">
        <f t="shared" si="41"/>
        <v>0</v>
      </c>
      <c r="AA80" s="2">
        <f t="shared" si="42"/>
        <v>0</v>
      </c>
      <c r="AB80" s="52" t="e">
        <f t="shared" si="43"/>
        <v>#DIV/0!</v>
      </c>
      <c r="AC80" s="46"/>
      <c r="AD80" s="46"/>
      <c r="AE80" s="53"/>
    </row>
    <row r="81" spans="1:31" ht="15.75" x14ac:dyDescent="0.25">
      <c r="A81" s="108" t="s">
        <v>188</v>
      </c>
      <c r="B81" s="107" t="s">
        <v>122</v>
      </c>
      <c r="C81" s="109" t="s">
        <v>135</v>
      </c>
      <c r="D81" s="91">
        <v>0</v>
      </c>
      <c r="E81" s="92">
        <v>0</v>
      </c>
      <c r="F81" s="46"/>
      <c r="G81" s="46"/>
      <c r="H81" s="46"/>
      <c r="I81" s="2">
        <f t="shared" si="3"/>
        <v>0</v>
      </c>
      <c r="J81" s="3">
        <f t="shared" si="39"/>
        <v>0</v>
      </c>
      <c r="K81" s="103"/>
      <c r="L81" s="45"/>
      <c r="M81" s="45"/>
      <c r="N81" s="45"/>
      <c r="O81" s="94">
        <v>0</v>
      </c>
      <c r="P81" s="93"/>
      <c r="Q81" s="93"/>
      <c r="R81" s="93"/>
      <c r="S81" s="2">
        <f t="shared" si="4"/>
        <v>0</v>
      </c>
      <c r="T81" s="93">
        <f t="shared" si="40"/>
        <v>0</v>
      </c>
      <c r="U81" s="2">
        <v>0</v>
      </c>
      <c r="V81" s="2">
        <v>0</v>
      </c>
      <c r="W81" s="2">
        <v>0</v>
      </c>
      <c r="X81" s="46"/>
      <c r="Y81" s="103"/>
      <c r="Z81" s="2">
        <f t="shared" si="41"/>
        <v>0</v>
      </c>
      <c r="AA81" s="2">
        <f t="shared" si="42"/>
        <v>0</v>
      </c>
      <c r="AB81" s="52" t="e">
        <f t="shared" si="43"/>
        <v>#DIV/0!</v>
      </c>
      <c r="AC81" s="46"/>
      <c r="AD81" s="46"/>
      <c r="AE81" s="53"/>
    </row>
    <row r="82" spans="1:31" ht="15.75" x14ac:dyDescent="0.25">
      <c r="A82" s="108" t="s">
        <v>208</v>
      </c>
      <c r="B82" s="107" t="s">
        <v>177</v>
      </c>
      <c r="C82" s="109" t="s">
        <v>178</v>
      </c>
      <c r="D82" s="91">
        <v>0</v>
      </c>
      <c r="E82" s="92">
        <v>0</v>
      </c>
      <c r="F82" s="46"/>
      <c r="G82" s="46"/>
      <c r="H82" s="46"/>
      <c r="I82" s="2">
        <f t="shared" si="3"/>
        <v>0</v>
      </c>
      <c r="J82" s="3">
        <f t="shared" si="39"/>
        <v>0</v>
      </c>
      <c r="K82" s="103"/>
      <c r="L82" s="45"/>
      <c r="M82" s="45"/>
      <c r="N82" s="45"/>
      <c r="O82" s="94">
        <v>0</v>
      </c>
      <c r="P82" s="93"/>
      <c r="Q82" s="93"/>
      <c r="R82" s="93"/>
      <c r="S82" s="2">
        <f t="shared" si="4"/>
        <v>0</v>
      </c>
      <c r="T82" s="93">
        <f t="shared" si="40"/>
        <v>0</v>
      </c>
      <c r="U82" s="2">
        <v>0</v>
      </c>
      <c r="V82" s="2">
        <v>0</v>
      </c>
      <c r="W82" s="2">
        <v>0</v>
      </c>
      <c r="X82" s="46"/>
      <c r="Y82" s="103"/>
      <c r="Z82" s="2">
        <f t="shared" si="41"/>
        <v>0</v>
      </c>
      <c r="AA82" s="2">
        <f t="shared" ref="AA82:AA86" si="44">J82-E82</f>
        <v>0</v>
      </c>
      <c r="AB82" s="52" t="e">
        <f t="shared" ref="AB82:AB86" si="45">AA82/E82</f>
        <v>#DIV/0!</v>
      </c>
      <c r="AC82" s="46"/>
      <c r="AD82" s="46"/>
      <c r="AE82" s="53"/>
    </row>
    <row r="83" spans="1:31" ht="15.75" x14ac:dyDescent="0.25">
      <c r="A83" s="108" t="s">
        <v>189</v>
      </c>
      <c r="B83" s="107" t="s">
        <v>179</v>
      </c>
      <c r="C83" s="109" t="s">
        <v>145</v>
      </c>
      <c r="D83" s="91">
        <v>0</v>
      </c>
      <c r="E83" s="92">
        <v>0</v>
      </c>
      <c r="F83" s="46"/>
      <c r="G83" s="46"/>
      <c r="H83" s="46"/>
      <c r="I83" s="2">
        <f t="shared" ref="I83:I102" si="46">E83</f>
        <v>0</v>
      </c>
      <c r="J83" s="3">
        <f t="shared" si="39"/>
        <v>0</v>
      </c>
      <c r="K83" s="103"/>
      <c r="L83" s="45"/>
      <c r="M83" s="45"/>
      <c r="N83" s="45"/>
      <c r="O83" s="94">
        <v>0</v>
      </c>
      <c r="P83" s="93"/>
      <c r="Q83" s="93"/>
      <c r="R83" s="93"/>
      <c r="S83" s="2">
        <f t="shared" ref="S83:S102" si="47">O83</f>
        <v>0</v>
      </c>
      <c r="T83" s="93">
        <f t="shared" si="40"/>
        <v>0</v>
      </c>
      <c r="U83" s="2">
        <v>0</v>
      </c>
      <c r="V83" s="2">
        <v>0</v>
      </c>
      <c r="W83" s="2">
        <v>0</v>
      </c>
      <c r="X83" s="46"/>
      <c r="Y83" s="103"/>
      <c r="Z83" s="2">
        <f t="shared" si="41"/>
        <v>0</v>
      </c>
      <c r="AA83" s="2">
        <f t="shared" si="44"/>
        <v>0</v>
      </c>
      <c r="AB83" s="52" t="e">
        <f t="shared" si="45"/>
        <v>#DIV/0!</v>
      </c>
      <c r="AC83" s="46"/>
      <c r="AD83" s="46"/>
      <c r="AE83" s="53"/>
    </row>
    <row r="84" spans="1:31" ht="15.75" x14ac:dyDescent="0.25">
      <c r="A84" s="108" t="s">
        <v>209</v>
      </c>
      <c r="B84" s="107" t="s">
        <v>180</v>
      </c>
      <c r="C84" s="109" t="s">
        <v>181</v>
      </c>
      <c r="D84" s="91">
        <v>1.2479999999999998</v>
      </c>
      <c r="E84" s="92">
        <v>0.624</v>
      </c>
      <c r="F84" s="46"/>
      <c r="G84" s="46"/>
      <c r="H84" s="46"/>
      <c r="I84" s="2">
        <f t="shared" si="46"/>
        <v>0.624</v>
      </c>
      <c r="J84" s="3">
        <f t="shared" si="39"/>
        <v>0.67254677000000007</v>
      </c>
      <c r="K84" s="103">
        <f>672546.77/1000000</f>
        <v>0.67254677000000007</v>
      </c>
      <c r="L84" s="45"/>
      <c r="M84" s="45"/>
      <c r="N84" s="45"/>
      <c r="O84" s="92">
        <v>0.52</v>
      </c>
      <c r="P84" s="93"/>
      <c r="Q84" s="93"/>
      <c r="R84" s="93"/>
      <c r="S84" s="2">
        <f t="shared" si="47"/>
        <v>0.52</v>
      </c>
      <c r="T84" s="106">
        <f t="shared" si="40"/>
        <v>0.26874806000000001</v>
      </c>
      <c r="U84" s="2">
        <v>0</v>
      </c>
      <c r="V84" s="2">
        <v>0</v>
      </c>
      <c r="W84" s="47">
        <f>268748.06/1000000</f>
        <v>0.26874806000000001</v>
      </c>
      <c r="X84" s="47"/>
      <c r="Y84" s="103"/>
      <c r="Z84" s="2">
        <f t="shared" si="41"/>
        <v>-4.8546770000000072E-2</v>
      </c>
      <c r="AA84" s="2">
        <f t="shared" si="44"/>
        <v>4.8546770000000072E-2</v>
      </c>
      <c r="AB84" s="52">
        <f t="shared" si="45"/>
        <v>7.7799310897436011E-2</v>
      </c>
      <c r="AC84" s="46"/>
      <c r="AD84" s="46"/>
      <c r="AE84" s="53"/>
    </row>
    <row r="85" spans="1:31" ht="15.75" x14ac:dyDescent="0.25">
      <c r="A85" s="108" t="s">
        <v>190</v>
      </c>
      <c r="B85" s="107" t="s">
        <v>147</v>
      </c>
      <c r="C85" s="109" t="s">
        <v>148</v>
      </c>
      <c r="D85" s="91">
        <v>0</v>
      </c>
      <c r="E85" s="92">
        <v>0</v>
      </c>
      <c r="F85" s="46"/>
      <c r="G85" s="46"/>
      <c r="H85" s="46"/>
      <c r="I85" s="2">
        <f t="shared" si="46"/>
        <v>0</v>
      </c>
      <c r="J85" s="3">
        <f t="shared" si="39"/>
        <v>0</v>
      </c>
      <c r="K85" s="103"/>
      <c r="L85" s="45"/>
      <c r="M85" s="45"/>
      <c r="N85" s="45"/>
      <c r="O85" s="92">
        <v>0</v>
      </c>
      <c r="P85" s="93"/>
      <c r="Q85" s="93"/>
      <c r="R85" s="93"/>
      <c r="S85" s="2">
        <f t="shared" si="47"/>
        <v>0</v>
      </c>
      <c r="T85" s="93">
        <f t="shared" si="40"/>
        <v>0</v>
      </c>
      <c r="U85" s="2">
        <v>0</v>
      </c>
      <c r="V85" s="2">
        <v>0</v>
      </c>
      <c r="W85" s="2">
        <v>0</v>
      </c>
      <c r="X85" s="46"/>
      <c r="Y85" s="103"/>
      <c r="Z85" s="2">
        <f t="shared" si="41"/>
        <v>0</v>
      </c>
      <c r="AA85" s="2">
        <f t="shared" si="44"/>
        <v>0</v>
      </c>
      <c r="AB85" s="52" t="e">
        <f t="shared" si="45"/>
        <v>#DIV/0!</v>
      </c>
      <c r="AC85" s="46"/>
      <c r="AD85" s="46"/>
      <c r="AE85" s="53"/>
    </row>
    <row r="86" spans="1:31" ht="15.75" x14ac:dyDescent="0.25">
      <c r="A86" s="108" t="s">
        <v>210</v>
      </c>
      <c r="B86" s="107" t="s">
        <v>141</v>
      </c>
      <c r="C86" s="109" t="s">
        <v>143</v>
      </c>
      <c r="D86" s="91">
        <v>0</v>
      </c>
      <c r="E86" s="92">
        <v>0</v>
      </c>
      <c r="F86" s="46"/>
      <c r="G86" s="46"/>
      <c r="H86" s="46"/>
      <c r="I86" s="2">
        <f t="shared" si="46"/>
        <v>0</v>
      </c>
      <c r="J86" s="3">
        <f t="shared" si="39"/>
        <v>0</v>
      </c>
      <c r="K86" s="103"/>
      <c r="L86" s="45"/>
      <c r="M86" s="45"/>
      <c r="N86" s="45"/>
      <c r="O86" s="92">
        <v>0</v>
      </c>
      <c r="P86" s="93"/>
      <c r="Q86" s="93"/>
      <c r="R86" s="93"/>
      <c r="S86" s="2">
        <f t="shared" si="47"/>
        <v>0</v>
      </c>
      <c r="T86" s="93">
        <f t="shared" si="40"/>
        <v>0</v>
      </c>
      <c r="U86" s="2">
        <v>0</v>
      </c>
      <c r="V86" s="2">
        <v>0</v>
      </c>
      <c r="W86" s="2">
        <v>0</v>
      </c>
      <c r="X86" s="46"/>
      <c r="Y86" s="103"/>
      <c r="Z86" s="2">
        <f t="shared" si="41"/>
        <v>0</v>
      </c>
      <c r="AA86" s="2">
        <f t="shared" si="44"/>
        <v>0</v>
      </c>
      <c r="AB86" s="52" t="e">
        <f t="shared" si="45"/>
        <v>#DIV/0!</v>
      </c>
      <c r="AC86" s="46"/>
      <c r="AD86" s="46"/>
      <c r="AE86" s="53"/>
    </row>
    <row r="87" spans="1:31" ht="15.75" x14ac:dyDescent="0.25">
      <c r="A87" s="108" t="s">
        <v>211</v>
      </c>
      <c r="B87" s="107" t="s">
        <v>140</v>
      </c>
      <c r="C87" s="109" t="s">
        <v>146</v>
      </c>
      <c r="D87" s="91">
        <v>0</v>
      </c>
      <c r="E87" s="92">
        <v>0</v>
      </c>
      <c r="F87" s="46"/>
      <c r="G87" s="46"/>
      <c r="H87" s="46"/>
      <c r="I87" s="2">
        <f t="shared" si="46"/>
        <v>0</v>
      </c>
      <c r="J87" s="3">
        <f t="shared" ref="J87:J107" si="48">K87+L87+M87+N87</f>
        <v>0</v>
      </c>
      <c r="K87" s="103"/>
      <c r="L87" s="45"/>
      <c r="M87" s="3"/>
      <c r="N87" s="45"/>
      <c r="O87" s="92">
        <v>0</v>
      </c>
      <c r="P87" s="93"/>
      <c r="Q87" s="93"/>
      <c r="R87" s="93"/>
      <c r="S87" s="2">
        <f t="shared" si="47"/>
        <v>0</v>
      </c>
      <c r="T87" s="93">
        <f t="shared" ref="T87:T103" si="49">U87+V87+W87+X87</f>
        <v>0</v>
      </c>
      <c r="U87" s="2">
        <v>0</v>
      </c>
      <c r="V87" s="2">
        <v>0</v>
      </c>
      <c r="W87" s="2">
        <v>0</v>
      </c>
      <c r="X87" s="46"/>
      <c r="Y87" s="103"/>
      <c r="Z87" s="2">
        <f t="shared" ref="Z87" si="50">E87-J87</f>
        <v>0</v>
      </c>
      <c r="AA87" s="2">
        <f t="shared" ref="AA87" si="51">J87-E87</f>
        <v>0</v>
      </c>
      <c r="AB87" s="52" t="e">
        <f t="shared" ref="AB87" si="52">AA87/E87</f>
        <v>#DIV/0!</v>
      </c>
      <c r="AC87" s="46"/>
      <c r="AD87" s="46"/>
      <c r="AE87" s="53"/>
    </row>
    <row r="88" spans="1:31" ht="15.75" x14ac:dyDescent="0.25">
      <c r="A88" s="108" t="s">
        <v>212</v>
      </c>
      <c r="B88" s="107" t="s">
        <v>213</v>
      </c>
      <c r="C88" s="109" t="s">
        <v>214</v>
      </c>
      <c r="D88" s="91">
        <v>8.6416961953080005</v>
      </c>
      <c r="E88" s="92">
        <v>0.52432666439999998</v>
      </c>
      <c r="F88" s="46"/>
      <c r="G88" s="46"/>
      <c r="H88" s="46"/>
      <c r="I88" s="2">
        <f t="shared" si="46"/>
        <v>0.52432666439999998</v>
      </c>
      <c r="J88" s="3">
        <f t="shared" si="48"/>
        <v>5.01087140666667</v>
      </c>
      <c r="K88" s="103"/>
      <c r="L88" s="45"/>
      <c r="M88" s="3">
        <f>5010871.40666667/1000000</f>
        <v>5.01087140666667</v>
      </c>
      <c r="N88" s="45"/>
      <c r="O88" s="92">
        <v>0.436938887</v>
      </c>
      <c r="P88" s="93"/>
      <c r="Q88" s="93"/>
      <c r="R88" s="93"/>
      <c r="S88" s="2">
        <f t="shared" si="47"/>
        <v>0.436938887</v>
      </c>
      <c r="T88" s="93">
        <f t="shared" si="49"/>
        <v>4.9292726</v>
      </c>
      <c r="U88" s="2">
        <v>0</v>
      </c>
      <c r="V88" s="47">
        <v>0.37904642499999996</v>
      </c>
      <c r="W88" s="134">
        <f>0.374500005+4.17572617</f>
        <v>4.5502261749999997</v>
      </c>
      <c r="X88" s="47"/>
      <c r="Y88" s="103">
        <v>5.51160199</v>
      </c>
      <c r="Z88" s="2">
        <f t="shared" ref="Z88:Z107" si="53">E88-J88</f>
        <v>-4.4865447422666698</v>
      </c>
      <c r="AA88" s="2">
        <f t="shared" ref="AA88:AA107" si="54">J88-E88</f>
        <v>4.4865447422666698</v>
      </c>
      <c r="AB88" s="52">
        <f t="shared" ref="AB88:AB107" si="55">AA88/E88</f>
        <v>8.5567739481659473</v>
      </c>
      <c r="AC88" s="46"/>
      <c r="AD88" s="46"/>
      <c r="AE88" s="53"/>
    </row>
    <row r="89" spans="1:31" ht="15.75" x14ac:dyDescent="0.25">
      <c r="A89" s="108" t="s">
        <v>215</v>
      </c>
      <c r="B89" s="107" t="s">
        <v>216</v>
      </c>
      <c r="C89" s="109" t="s">
        <v>217</v>
      </c>
      <c r="D89" s="91">
        <v>0.49002492000000064</v>
      </c>
      <c r="E89" s="92">
        <v>0.49002491999999997</v>
      </c>
      <c r="F89" s="46"/>
      <c r="G89" s="46"/>
      <c r="H89" s="46"/>
      <c r="I89" s="2">
        <f t="shared" si="46"/>
        <v>0.49002491999999997</v>
      </c>
      <c r="J89" s="3">
        <f t="shared" si="48"/>
        <v>0</v>
      </c>
      <c r="K89" s="103"/>
      <c r="L89" s="45"/>
      <c r="M89" s="3"/>
      <c r="N89" s="45"/>
      <c r="O89" s="92">
        <v>0.4083541</v>
      </c>
      <c r="P89" s="93"/>
      <c r="Q89" s="93"/>
      <c r="R89" s="93"/>
      <c r="S89" s="2">
        <f t="shared" si="47"/>
        <v>0.4083541</v>
      </c>
      <c r="T89" s="93">
        <f t="shared" si="49"/>
        <v>0.75354642999999977</v>
      </c>
      <c r="U89" s="2">
        <v>0</v>
      </c>
      <c r="V89" s="47">
        <v>0.37904642499999996</v>
      </c>
      <c r="W89" s="134">
        <v>0.3745000049999998</v>
      </c>
      <c r="X89" s="47"/>
      <c r="Y89" s="103">
        <v>5.51160199</v>
      </c>
      <c r="Z89" s="2">
        <f t="shared" si="53"/>
        <v>0.49002491999999997</v>
      </c>
      <c r="AA89" s="2">
        <f t="shared" si="54"/>
        <v>-0.49002491999999997</v>
      </c>
      <c r="AB89" s="52">
        <f t="shared" si="55"/>
        <v>-1</v>
      </c>
      <c r="AC89" s="46"/>
      <c r="AD89" s="46"/>
      <c r="AE89" s="53"/>
    </row>
    <row r="90" spans="1:31" ht="15.75" x14ac:dyDescent="0.25">
      <c r="A90" s="108" t="s">
        <v>191</v>
      </c>
      <c r="B90" s="107" t="s">
        <v>192</v>
      </c>
      <c r="C90" s="109" t="s">
        <v>193</v>
      </c>
      <c r="D90" s="91">
        <v>0.65205000000000002</v>
      </c>
      <c r="E90" s="92">
        <v>0.315</v>
      </c>
      <c r="F90" s="46"/>
      <c r="G90" s="46"/>
      <c r="H90" s="46"/>
      <c r="I90" s="2">
        <f t="shared" si="46"/>
        <v>0.315</v>
      </c>
      <c r="J90" s="3">
        <f t="shared" si="48"/>
        <v>0.3819208</v>
      </c>
      <c r="K90" s="103">
        <f>83176.8/1000000</f>
        <v>8.3176800000000009E-2</v>
      </c>
      <c r="L90" s="45"/>
      <c r="M90" s="3">
        <v>0.29874400000000001</v>
      </c>
      <c r="N90" s="45"/>
      <c r="O90" s="92">
        <v>0.26250000000000001</v>
      </c>
      <c r="P90" s="93"/>
      <c r="Q90" s="93"/>
      <c r="R90" s="93"/>
      <c r="S90" s="2">
        <f t="shared" si="47"/>
        <v>0.26250000000000001</v>
      </c>
      <c r="T90" s="93">
        <f t="shared" si="49"/>
        <v>0.24895333</v>
      </c>
      <c r="U90" s="103"/>
      <c r="V90" s="46"/>
      <c r="W90" s="3">
        <f>0.15187+0.09708333</f>
        <v>0.24895333</v>
      </c>
      <c r="X90" s="47"/>
      <c r="Y90" s="103"/>
      <c r="Z90" s="2">
        <f t="shared" si="53"/>
        <v>-6.6920800000000003E-2</v>
      </c>
      <c r="AA90" s="2">
        <f t="shared" si="54"/>
        <v>6.6920800000000003E-2</v>
      </c>
      <c r="AB90" s="52">
        <f t="shared" si="55"/>
        <v>0.21244698412698412</v>
      </c>
      <c r="AC90" s="46"/>
      <c r="AD90" s="46"/>
      <c r="AE90" s="53"/>
    </row>
    <row r="91" spans="1:31" ht="15.75" x14ac:dyDescent="0.25">
      <c r="A91" s="108" t="s">
        <v>218</v>
      </c>
      <c r="B91" s="107" t="s">
        <v>198</v>
      </c>
      <c r="C91" s="109" t="s">
        <v>199</v>
      </c>
      <c r="D91" s="91">
        <v>0</v>
      </c>
      <c r="E91" s="92">
        <v>0</v>
      </c>
      <c r="F91" s="46"/>
      <c r="G91" s="46"/>
      <c r="H91" s="46"/>
      <c r="I91" s="2">
        <f t="shared" si="46"/>
        <v>0</v>
      </c>
      <c r="J91" s="3">
        <f t="shared" si="48"/>
        <v>2.7984120000000003</v>
      </c>
      <c r="K91" s="103">
        <f>2615000/1000000</f>
        <v>2.6150000000000002</v>
      </c>
      <c r="L91" s="45"/>
      <c r="M91" s="3">
        <v>0.18341199999999999</v>
      </c>
      <c r="N91" s="45"/>
      <c r="O91" s="92">
        <v>0</v>
      </c>
      <c r="P91" s="93"/>
      <c r="Q91" s="93"/>
      <c r="R91" s="93"/>
      <c r="S91" s="2">
        <f t="shared" si="47"/>
        <v>0</v>
      </c>
      <c r="T91" s="93">
        <f t="shared" si="49"/>
        <v>2.42076</v>
      </c>
      <c r="U91" s="103">
        <f>(2179166.67+88750)/1000000</f>
        <v>2.26791667</v>
      </c>
      <c r="V91" s="47"/>
      <c r="W91" s="3">
        <f>(83333.33+69510)/1000000</f>
        <v>0.15284333000000003</v>
      </c>
      <c r="X91" s="112"/>
      <c r="Y91" s="103"/>
      <c r="Z91" s="2">
        <f t="shared" si="53"/>
        <v>-2.7984120000000003</v>
      </c>
      <c r="AA91" s="2">
        <f t="shared" si="54"/>
        <v>2.7984120000000003</v>
      </c>
      <c r="AB91" s="52" t="e">
        <f t="shared" si="55"/>
        <v>#DIV/0!</v>
      </c>
      <c r="AC91" s="46"/>
      <c r="AD91" s="46"/>
      <c r="AE91" s="53"/>
    </row>
    <row r="92" spans="1:31" ht="15.75" x14ac:dyDescent="0.25">
      <c r="A92" s="108" t="s">
        <v>219</v>
      </c>
      <c r="B92" s="107" t="s">
        <v>221</v>
      </c>
      <c r="C92" s="109" t="s">
        <v>222</v>
      </c>
      <c r="D92" s="91">
        <v>0</v>
      </c>
      <c r="E92" s="92">
        <v>0</v>
      </c>
      <c r="F92" s="46"/>
      <c r="G92" s="46"/>
      <c r="H92" s="46"/>
      <c r="I92" s="2">
        <f t="shared" si="46"/>
        <v>0</v>
      </c>
      <c r="J92" s="3">
        <f t="shared" si="48"/>
        <v>1.851996</v>
      </c>
      <c r="K92" s="103">
        <f>1851996/1000000</f>
        <v>1.851996</v>
      </c>
      <c r="L92" s="45"/>
      <c r="M92" s="3"/>
      <c r="N92" s="45"/>
      <c r="O92" s="92">
        <v>0</v>
      </c>
      <c r="P92" s="93"/>
      <c r="Q92" s="93"/>
      <c r="R92" s="93"/>
      <c r="S92" s="2">
        <f t="shared" si="47"/>
        <v>0</v>
      </c>
      <c r="T92" s="93">
        <f t="shared" si="49"/>
        <v>13.987424189999999</v>
      </c>
      <c r="U92" s="2">
        <v>0</v>
      </c>
      <c r="V92" s="47">
        <v>13.987424189999999</v>
      </c>
      <c r="W92" s="2">
        <v>0</v>
      </c>
      <c r="X92" s="46"/>
      <c r="Y92" s="103">
        <v>0.154333</v>
      </c>
      <c r="Z92" s="2">
        <f t="shared" si="53"/>
        <v>-1.851996</v>
      </c>
      <c r="AA92" s="2">
        <f t="shared" si="54"/>
        <v>1.851996</v>
      </c>
      <c r="AB92" s="52" t="e">
        <f t="shared" si="55"/>
        <v>#DIV/0!</v>
      </c>
      <c r="AC92" s="46"/>
      <c r="AD92" s="46"/>
      <c r="AE92" s="53"/>
    </row>
    <row r="93" spans="1:31" ht="17.25" customHeight="1" x14ac:dyDescent="0.25">
      <c r="A93" s="108" t="s">
        <v>220</v>
      </c>
      <c r="B93" s="46" t="s">
        <v>194</v>
      </c>
      <c r="C93" s="110" t="s">
        <v>195</v>
      </c>
      <c r="D93" s="91">
        <v>0</v>
      </c>
      <c r="E93" s="92">
        <v>0</v>
      </c>
      <c r="F93" s="46"/>
      <c r="G93" s="46"/>
      <c r="H93" s="46"/>
      <c r="I93" s="2">
        <f t="shared" si="46"/>
        <v>0</v>
      </c>
      <c r="J93" s="3">
        <f t="shared" si="48"/>
        <v>0</v>
      </c>
      <c r="K93" s="103"/>
      <c r="L93" s="105"/>
      <c r="M93" s="46"/>
      <c r="N93" s="46"/>
      <c r="O93" s="92">
        <v>0</v>
      </c>
      <c r="P93" s="46"/>
      <c r="Q93" s="46"/>
      <c r="R93" s="46"/>
      <c r="S93" s="2">
        <f t="shared" si="47"/>
        <v>0</v>
      </c>
      <c r="T93" s="93">
        <f t="shared" si="49"/>
        <v>3.3905080000000004E-2</v>
      </c>
      <c r="U93" s="2">
        <v>0</v>
      </c>
      <c r="V93" s="47">
        <v>3.3905080000000004E-2</v>
      </c>
      <c r="W93" s="2">
        <v>0</v>
      </c>
      <c r="X93" s="46"/>
      <c r="Y93" s="103">
        <v>1.47566508</v>
      </c>
      <c r="Z93" s="2">
        <f t="shared" si="53"/>
        <v>0</v>
      </c>
      <c r="AA93" s="2">
        <f t="shared" si="54"/>
        <v>0</v>
      </c>
      <c r="AB93" s="52" t="e">
        <f t="shared" si="55"/>
        <v>#DIV/0!</v>
      </c>
      <c r="AC93" s="46"/>
      <c r="AD93" s="46"/>
      <c r="AE93" s="53"/>
    </row>
    <row r="94" spans="1:31" ht="17.25" customHeight="1" x14ac:dyDescent="0.25">
      <c r="A94" s="108" t="s">
        <v>223</v>
      </c>
      <c r="B94" s="46" t="s">
        <v>196</v>
      </c>
      <c r="C94" s="110" t="s">
        <v>197</v>
      </c>
      <c r="D94" s="91">
        <v>0</v>
      </c>
      <c r="E94" s="92">
        <v>0</v>
      </c>
      <c r="F94" s="46"/>
      <c r="G94" s="46"/>
      <c r="H94" s="46"/>
      <c r="I94" s="2">
        <f t="shared" si="46"/>
        <v>0</v>
      </c>
      <c r="J94" s="3">
        <f t="shared" si="48"/>
        <v>0</v>
      </c>
      <c r="K94" s="103"/>
      <c r="L94" s="105"/>
      <c r="M94" s="46"/>
      <c r="N94" s="46"/>
      <c r="O94" s="92">
        <v>0</v>
      </c>
      <c r="P94" s="46"/>
      <c r="Q94" s="46"/>
      <c r="R94" s="46"/>
      <c r="S94" s="2">
        <f t="shared" si="47"/>
        <v>0</v>
      </c>
      <c r="T94" s="93">
        <f t="shared" si="49"/>
        <v>0</v>
      </c>
      <c r="U94" s="2">
        <v>0</v>
      </c>
      <c r="V94" s="2">
        <v>0</v>
      </c>
      <c r="W94" s="2">
        <v>0</v>
      </c>
      <c r="X94" s="46"/>
      <c r="Y94" s="103"/>
      <c r="Z94" s="2">
        <f t="shared" si="53"/>
        <v>0</v>
      </c>
      <c r="AA94" s="2">
        <f t="shared" si="54"/>
        <v>0</v>
      </c>
      <c r="AB94" s="52" t="e">
        <f t="shared" si="55"/>
        <v>#DIV/0!</v>
      </c>
      <c r="AC94" s="46"/>
      <c r="AD94" s="46"/>
      <c r="AE94" s="53"/>
    </row>
    <row r="95" spans="1:31" ht="17.25" customHeight="1" x14ac:dyDescent="0.25">
      <c r="A95" s="108" t="s">
        <v>224</v>
      </c>
      <c r="B95" s="46" t="s">
        <v>225</v>
      </c>
      <c r="C95" s="110" t="s">
        <v>226</v>
      </c>
      <c r="D95" s="91">
        <v>0</v>
      </c>
      <c r="E95" s="92">
        <v>0</v>
      </c>
      <c r="F95" s="46"/>
      <c r="G95" s="46"/>
      <c r="H95" s="46"/>
      <c r="I95" s="2">
        <f t="shared" si="46"/>
        <v>0</v>
      </c>
      <c r="J95" s="3">
        <f t="shared" si="48"/>
        <v>10.339556</v>
      </c>
      <c r="K95" s="103">
        <f>5639556/1000000</f>
        <v>5.6395559999999998</v>
      </c>
      <c r="L95" s="105">
        <v>4.7</v>
      </c>
      <c r="M95" s="46"/>
      <c r="N95" s="46"/>
      <c r="O95" s="92">
        <v>0</v>
      </c>
      <c r="P95" s="46"/>
      <c r="Q95" s="46"/>
      <c r="R95" s="46"/>
      <c r="S95" s="2">
        <f t="shared" si="47"/>
        <v>0</v>
      </c>
      <c r="T95" s="106">
        <f t="shared" si="49"/>
        <v>9.7940629799999996</v>
      </c>
      <c r="U95" s="103">
        <f>4699630/1000000</f>
        <v>4.69963</v>
      </c>
      <c r="V95" s="47">
        <v>5.0944329799999997</v>
      </c>
      <c r="W95" s="2">
        <v>0</v>
      </c>
      <c r="X95" s="46"/>
      <c r="Y95" s="103"/>
      <c r="Z95" s="2">
        <f t="shared" si="53"/>
        <v>-10.339556</v>
      </c>
      <c r="AA95" s="2">
        <f t="shared" si="54"/>
        <v>10.339556</v>
      </c>
      <c r="AB95" s="52" t="e">
        <f t="shared" si="55"/>
        <v>#DIV/0!</v>
      </c>
      <c r="AC95" s="46"/>
      <c r="AD95" s="46"/>
      <c r="AE95" s="53"/>
    </row>
    <row r="96" spans="1:31" ht="17.25" customHeight="1" x14ac:dyDescent="0.25">
      <c r="A96" s="108" t="s">
        <v>227</v>
      </c>
      <c r="B96" s="46" t="s">
        <v>228</v>
      </c>
      <c r="C96" s="110" t="s">
        <v>229</v>
      </c>
      <c r="D96" s="91">
        <v>0</v>
      </c>
      <c r="E96" s="92">
        <v>0</v>
      </c>
      <c r="F96" s="46"/>
      <c r="G96" s="46"/>
      <c r="H96" s="46"/>
      <c r="I96" s="2">
        <f t="shared" si="46"/>
        <v>0</v>
      </c>
      <c r="J96" s="3">
        <f t="shared" si="48"/>
        <v>0.1</v>
      </c>
      <c r="K96" s="103"/>
      <c r="L96" s="105"/>
      <c r="M96" s="47">
        <v>0.1</v>
      </c>
      <c r="N96" s="46"/>
      <c r="O96" s="92">
        <v>0</v>
      </c>
      <c r="P96" s="46"/>
      <c r="Q96" s="46"/>
      <c r="R96" s="46"/>
      <c r="S96" s="2">
        <f t="shared" si="47"/>
        <v>0</v>
      </c>
      <c r="T96" s="93">
        <f t="shared" si="49"/>
        <v>0.1</v>
      </c>
      <c r="U96" s="2">
        <v>0</v>
      </c>
      <c r="V96" s="2">
        <v>0</v>
      </c>
      <c r="W96" s="47">
        <v>0.1</v>
      </c>
      <c r="X96" s="47"/>
      <c r="Y96" s="103">
        <v>1.655</v>
      </c>
      <c r="Z96" s="2">
        <f t="shared" si="53"/>
        <v>-0.1</v>
      </c>
      <c r="AA96" s="2">
        <f t="shared" si="54"/>
        <v>0.1</v>
      </c>
      <c r="AB96" s="52" t="e">
        <f t="shared" si="55"/>
        <v>#DIV/0!</v>
      </c>
      <c r="AC96" s="46"/>
      <c r="AD96" s="46"/>
      <c r="AE96" s="53"/>
    </row>
    <row r="97" spans="1:31" ht="17.25" customHeight="1" x14ac:dyDescent="0.25">
      <c r="A97" s="108" t="s">
        <v>230</v>
      </c>
      <c r="B97" s="46" t="s">
        <v>231</v>
      </c>
      <c r="C97" s="110" t="s">
        <v>232</v>
      </c>
      <c r="D97" s="91">
        <v>0</v>
      </c>
      <c r="E97" s="92">
        <v>0</v>
      </c>
      <c r="F97" s="46"/>
      <c r="G97" s="46"/>
      <c r="H97" s="46"/>
      <c r="I97" s="2">
        <f t="shared" si="46"/>
        <v>0</v>
      </c>
      <c r="J97" s="3">
        <f t="shared" si="48"/>
        <v>2.5671999959999998</v>
      </c>
      <c r="K97" s="103">
        <f>2567199.996/1000000</f>
        <v>2.5671999959999998</v>
      </c>
      <c r="L97" s="105"/>
      <c r="M97" s="47"/>
      <c r="N97" s="46"/>
      <c r="O97" s="92">
        <v>0</v>
      </c>
      <c r="P97" s="46"/>
      <c r="Q97" s="46"/>
      <c r="R97" s="46"/>
      <c r="S97" s="2">
        <f t="shared" si="47"/>
        <v>0</v>
      </c>
      <c r="T97" s="106">
        <f t="shared" si="49"/>
        <v>2.26407837</v>
      </c>
      <c r="U97" s="103">
        <f>2139333.33/1000000</f>
        <v>2.1393333299999999</v>
      </c>
      <c r="V97" s="2">
        <v>0</v>
      </c>
      <c r="W97" s="47">
        <v>0.12474504</v>
      </c>
      <c r="X97" s="46"/>
      <c r="Y97" s="103">
        <f>T97</f>
        <v>2.26407837</v>
      </c>
      <c r="Z97" s="2">
        <f t="shared" si="53"/>
        <v>-2.5671999959999998</v>
      </c>
      <c r="AA97" s="2">
        <f t="shared" si="54"/>
        <v>2.5671999959999998</v>
      </c>
      <c r="AB97" s="52" t="e">
        <f t="shared" si="55"/>
        <v>#DIV/0!</v>
      </c>
      <c r="AC97" s="46"/>
      <c r="AD97" s="46"/>
      <c r="AE97" s="53"/>
    </row>
    <row r="98" spans="1:31" ht="17.25" customHeight="1" x14ac:dyDescent="0.25">
      <c r="A98" s="108" t="s">
        <v>233</v>
      </c>
      <c r="B98" s="46" t="s">
        <v>234</v>
      </c>
      <c r="C98" s="110" t="s">
        <v>235</v>
      </c>
      <c r="D98" s="91">
        <v>0</v>
      </c>
      <c r="E98" s="92">
        <v>0</v>
      </c>
      <c r="F98" s="46"/>
      <c r="G98" s="46"/>
      <c r="H98" s="46"/>
      <c r="I98" s="2">
        <f t="shared" si="46"/>
        <v>0</v>
      </c>
      <c r="J98" s="3">
        <f t="shared" si="48"/>
        <v>0</v>
      </c>
      <c r="K98" s="103"/>
      <c r="L98" s="105"/>
      <c r="M98" s="47"/>
      <c r="N98" s="46"/>
      <c r="O98" s="92">
        <v>0</v>
      </c>
      <c r="P98" s="46"/>
      <c r="Q98" s="46"/>
      <c r="R98" s="46"/>
      <c r="S98" s="2">
        <f t="shared" si="47"/>
        <v>0</v>
      </c>
      <c r="T98" s="93">
        <f t="shared" si="49"/>
        <v>0</v>
      </c>
      <c r="U98" s="2">
        <v>0</v>
      </c>
      <c r="V98" s="2">
        <v>0</v>
      </c>
      <c r="W98" s="2">
        <v>0</v>
      </c>
      <c r="X98" s="46"/>
      <c r="Y98" s="103"/>
      <c r="Z98" s="2">
        <f t="shared" si="53"/>
        <v>0</v>
      </c>
      <c r="AA98" s="2">
        <f t="shared" si="54"/>
        <v>0</v>
      </c>
      <c r="AB98" s="52" t="e">
        <f t="shared" si="55"/>
        <v>#DIV/0!</v>
      </c>
      <c r="AC98" s="46"/>
      <c r="AD98" s="46"/>
      <c r="AE98" s="53"/>
    </row>
    <row r="99" spans="1:31" ht="17.25" customHeight="1" x14ac:dyDescent="0.25">
      <c r="A99" s="108" t="s">
        <v>236</v>
      </c>
      <c r="B99" s="46" t="s">
        <v>237</v>
      </c>
      <c r="C99" s="110" t="s">
        <v>238</v>
      </c>
      <c r="D99" s="91">
        <v>0</v>
      </c>
      <c r="E99" s="92">
        <v>0</v>
      </c>
      <c r="F99" s="46"/>
      <c r="G99" s="46"/>
      <c r="H99" s="46"/>
      <c r="I99" s="2">
        <f t="shared" si="46"/>
        <v>0</v>
      </c>
      <c r="J99" s="3">
        <f t="shared" si="48"/>
        <v>13.591200000000001</v>
      </c>
      <c r="K99" s="103">
        <f>13591200/1000000</f>
        <v>13.591200000000001</v>
      </c>
      <c r="L99" s="105"/>
      <c r="M99" s="47"/>
      <c r="N99" s="46"/>
      <c r="O99" s="92">
        <v>0</v>
      </c>
      <c r="P99" s="46"/>
      <c r="Q99" s="46"/>
      <c r="R99" s="46"/>
      <c r="S99" s="2">
        <f t="shared" si="47"/>
        <v>0</v>
      </c>
      <c r="T99" s="106">
        <f t="shared" si="49"/>
        <v>12.599243902500001</v>
      </c>
      <c r="U99" s="103">
        <f>11326000/1000000</f>
        <v>11.326000000000001</v>
      </c>
      <c r="V99" s="47">
        <v>0.94154058249999995</v>
      </c>
      <c r="W99" s="47">
        <v>0.33170332000000002</v>
      </c>
      <c r="X99" s="46"/>
      <c r="Y99" s="103">
        <v>8.9629079399999991</v>
      </c>
      <c r="Z99" s="2">
        <f t="shared" si="53"/>
        <v>-13.591200000000001</v>
      </c>
      <c r="AA99" s="2">
        <f t="shared" si="54"/>
        <v>13.591200000000001</v>
      </c>
      <c r="AB99" s="52" t="e">
        <f t="shared" si="55"/>
        <v>#DIV/0!</v>
      </c>
      <c r="AC99" s="46"/>
      <c r="AD99" s="46"/>
      <c r="AE99" s="53"/>
    </row>
    <row r="100" spans="1:31" ht="17.25" customHeight="1" x14ac:dyDescent="0.25">
      <c r="A100" s="108" t="s">
        <v>239</v>
      </c>
      <c r="B100" s="46" t="s">
        <v>240</v>
      </c>
      <c r="C100" s="110" t="s">
        <v>241</v>
      </c>
      <c r="D100" s="91">
        <v>0</v>
      </c>
      <c r="E100" s="92">
        <v>0</v>
      </c>
      <c r="F100" s="46"/>
      <c r="G100" s="46"/>
      <c r="H100" s="46"/>
      <c r="I100" s="2">
        <f t="shared" si="46"/>
        <v>0</v>
      </c>
      <c r="J100" s="3">
        <f t="shared" si="48"/>
        <v>1.9416</v>
      </c>
      <c r="K100" s="103">
        <f>1941600/1000000</f>
        <v>1.9416</v>
      </c>
      <c r="L100" s="105"/>
      <c r="M100" s="47"/>
      <c r="N100" s="46"/>
      <c r="O100" s="92">
        <v>0</v>
      </c>
      <c r="P100" s="46"/>
      <c r="Q100" s="46"/>
      <c r="R100" s="46"/>
      <c r="S100" s="2">
        <f t="shared" si="47"/>
        <v>0</v>
      </c>
      <c r="T100" s="106">
        <f t="shared" si="49"/>
        <v>1.7525057975</v>
      </c>
      <c r="U100" s="103">
        <f>1618000/1000000</f>
        <v>1.6180000000000001</v>
      </c>
      <c r="V100" s="47">
        <v>0.1345057975</v>
      </c>
      <c r="W100" s="2">
        <v>0</v>
      </c>
      <c r="X100" s="46"/>
      <c r="Y100" s="103"/>
      <c r="Z100" s="2">
        <f t="shared" si="53"/>
        <v>-1.9416</v>
      </c>
      <c r="AA100" s="2">
        <f t="shared" si="54"/>
        <v>1.9416</v>
      </c>
      <c r="AB100" s="52" t="e">
        <f t="shared" si="55"/>
        <v>#DIV/0!</v>
      </c>
      <c r="AC100" s="46"/>
      <c r="AD100" s="46"/>
      <c r="AE100" s="53"/>
    </row>
    <row r="101" spans="1:31" ht="17.25" customHeight="1" x14ac:dyDescent="0.25">
      <c r="A101" s="108" t="s">
        <v>242</v>
      </c>
      <c r="B101" s="46" t="s">
        <v>243</v>
      </c>
      <c r="C101" s="110" t="s">
        <v>244</v>
      </c>
      <c r="D101" s="91">
        <v>0</v>
      </c>
      <c r="E101" s="92">
        <v>0</v>
      </c>
      <c r="F101" s="46"/>
      <c r="G101" s="46"/>
      <c r="H101" s="46"/>
      <c r="I101" s="2">
        <f t="shared" si="46"/>
        <v>0</v>
      </c>
      <c r="J101" s="3">
        <f t="shared" si="48"/>
        <v>0</v>
      </c>
      <c r="K101" s="103"/>
      <c r="L101" s="105"/>
      <c r="M101" s="47"/>
      <c r="N101" s="46"/>
      <c r="O101" s="92">
        <v>0</v>
      </c>
      <c r="P101" s="46"/>
      <c r="Q101" s="46"/>
      <c r="R101" s="46"/>
      <c r="S101" s="2">
        <f t="shared" si="47"/>
        <v>0</v>
      </c>
      <c r="T101" s="93">
        <f t="shared" si="49"/>
        <v>0</v>
      </c>
      <c r="U101" s="2">
        <v>0</v>
      </c>
      <c r="V101" s="2">
        <v>0</v>
      </c>
      <c r="W101" s="2">
        <v>0</v>
      </c>
      <c r="X101" s="46"/>
      <c r="Y101" s="103"/>
      <c r="Z101" s="2">
        <f t="shared" si="53"/>
        <v>0</v>
      </c>
      <c r="AA101" s="2">
        <f t="shared" si="54"/>
        <v>0</v>
      </c>
      <c r="AB101" s="52" t="e">
        <f t="shared" si="55"/>
        <v>#DIV/0!</v>
      </c>
      <c r="AC101" s="46"/>
      <c r="AD101" s="46"/>
      <c r="AE101" s="53"/>
    </row>
    <row r="102" spans="1:31" ht="17.25" customHeight="1" x14ac:dyDescent="0.25">
      <c r="A102" s="108" t="s">
        <v>245</v>
      </c>
      <c r="B102" s="46" t="s">
        <v>246</v>
      </c>
      <c r="C102" s="110" t="s">
        <v>247</v>
      </c>
      <c r="D102" s="91">
        <v>0</v>
      </c>
      <c r="E102" s="92">
        <v>0</v>
      </c>
      <c r="F102" s="46"/>
      <c r="G102" s="46"/>
      <c r="H102" s="46"/>
      <c r="I102" s="2">
        <f t="shared" si="46"/>
        <v>0</v>
      </c>
      <c r="J102" s="3">
        <f t="shared" si="48"/>
        <v>0</v>
      </c>
      <c r="K102" s="103"/>
      <c r="L102" s="105"/>
      <c r="M102" s="47"/>
      <c r="N102" s="47"/>
      <c r="O102" s="92">
        <v>0</v>
      </c>
      <c r="P102" s="46"/>
      <c r="Q102" s="46"/>
      <c r="R102" s="46"/>
      <c r="S102" s="2">
        <f t="shared" si="47"/>
        <v>0</v>
      </c>
      <c r="T102" s="93">
        <f t="shared" si="49"/>
        <v>0</v>
      </c>
      <c r="U102" s="2">
        <v>0</v>
      </c>
      <c r="V102" s="2">
        <v>0</v>
      </c>
      <c r="W102" s="2">
        <v>0</v>
      </c>
      <c r="X102" s="47"/>
      <c r="Y102" s="103"/>
      <c r="Z102" s="2">
        <f t="shared" si="53"/>
        <v>0</v>
      </c>
      <c r="AA102" s="2">
        <f t="shared" si="54"/>
        <v>0</v>
      </c>
      <c r="AB102" s="52" t="e">
        <f t="shared" si="55"/>
        <v>#DIV/0!</v>
      </c>
      <c r="AC102" s="46"/>
      <c r="AD102" s="46"/>
      <c r="AE102" s="53"/>
    </row>
    <row r="103" spans="1:31" ht="17.25" customHeight="1" x14ac:dyDescent="0.25">
      <c r="A103" s="108" t="s">
        <v>258</v>
      </c>
      <c r="B103" s="46" t="s">
        <v>268</v>
      </c>
      <c r="C103" s="110" t="s">
        <v>269</v>
      </c>
      <c r="D103" s="91">
        <v>0</v>
      </c>
      <c r="E103" s="92">
        <v>0</v>
      </c>
      <c r="F103" s="46"/>
      <c r="G103" s="46"/>
      <c r="H103" s="46"/>
      <c r="I103" s="2"/>
      <c r="J103" s="3">
        <f t="shared" si="48"/>
        <v>10.021742813333301</v>
      </c>
      <c r="K103" s="103"/>
      <c r="L103" s="105"/>
      <c r="M103" s="47">
        <f>10021742.8133333/1000000</f>
        <v>10.021742813333301</v>
      </c>
      <c r="N103" s="47"/>
      <c r="O103" s="92">
        <v>0</v>
      </c>
      <c r="P103" s="46"/>
      <c r="Q103" s="46"/>
      <c r="R103" s="46"/>
      <c r="S103" s="2"/>
      <c r="T103" s="93">
        <f t="shared" si="49"/>
        <v>8.3514523399999998</v>
      </c>
      <c r="U103" s="2">
        <v>0</v>
      </c>
      <c r="V103" s="2">
        <v>0</v>
      </c>
      <c r="W103" s="3">
        <f>8351452.34/1000000</f>
        <v>8.3514523399999998</v>
      </c>
      <c r="X103" s="47"/>
      <c r="Y103" s="103">
        <f>W103/2</f>
        <v>4.1757261699999999</v>
      </c>
      <c r="Z103" s="2">
        <f t="shared" si="53"/>
        <v>-10.021742813333301</v>
      </c>
      <c r="AA103" s="2">
        <f t="shared" si="54"/>
        <v>10.021742813333301</v>
      </c>
      <c r="AB103" s="52" t="e">
        <f t="shared" si="55"/>
        <v>#DIV/0!</v>
      </c>
      <c r="AC103" s="46"/>
      <c r="AD103" s="46"/>
      <c r="AE103" s="53"/>
    </row>
    <row r="104" spans="1:31" ht="17.25" customHeight="1" x14ac:dyDescent="0.25">
      <c r="A104" s="108" t="s">
        <v>261</v>
      </c>
      <c r="B104" s="46" t="s">
        <v>265</v>
      </c>
      <c r="C104" s="110" t="s">
        <v>266</v>
      </c>
      <c r="D104" s="91">
        <v>0</v>
      </c>
      <c r="E104" s="92">
        <v>0</v>
      </c>
      <c r="F104" s="46"/>
      <c r="G104" s="46"/>
      <c r="H104" s="46"/>
      <c r="I104" s="2">
        <f t="shared" ref="I104:I105" si="56">E104</f>
        <v>0</v>
      </c>
      <c r="J104" s="3">
        <f t="shared" ref="J104:J105" si="57">K104+L104+M104+N104</f>
        <v>0.76238209999999995</v>
      </c>
      <c r="K104" s="103">
        <f>44513.3/1000000</f>
        <v>4.4513300000000006E-2</v>
      </c>
      <c r="L104" s="105">
        <v>6.0889199999999997E-2</v>
      </c>
      <c r="M104" s="46">
        <v>0.6569796</v>
      </c>
      <c r="N104" s="47"/>
      <c r="O104" s="92">
        <v>0</v>
      </c>
      <c r="P104" s="46"/>
      <c r="Q104" s="46"/>
      <c r="R104" s="46"/>
      <c r="S104" s="2">
        <f t="shared" ref="S104:S107" si="58">O104</f>
        <v>0</v>
      </c>
      <c r="T104" s="93">
        <f t="shared" ref="T104:T107" si="59">U104+V104+W104+X104</f>
        <v>0.83559443999999994</v>
      </c>
      <c r="U104" s="103">
        <f>44513.3/1000000</f>
        <v>4.4513300000000006E-2</v>
      </c>
      <c r="V104" s="47">
        <v>0.10464</v>
      </c>
      <c r="W104" s="47">
        <f>0.393684+0.1+0.05+0.0999+0.04285714</f>
        <v>0.68644114000000001</v>
      </c>
      <c r="X104" s="47"/>
      <c r="Y104" s="103"/>
      <c r="Z104" s="2">
        <f t="shared" si="53"/>
        <v>-0.76238209999999995</v>
      </c>
      <c r="AA104" s="2">
        <f t="shared" si="54"/>
        <v>0.76238209999999995</v>
      </c>
      <c r="AB104" s="52" t="e">
        <f t="shared" si="55"/>
        <v>#DIV/0!</v>
      </c>
      <c r="AC104" s="46"/>
      <c r="AD104" s="46"/>
      <c r="AE104" s="53"/>
    </row>
    <row r="105" spans="1:31" ht="17.25" customHeight="1" x14ac:dyDescent="0.25">
      <c r="A105" s="108" t="s">
        <v>262</v>
      </c>
      <c r="B105" s="46" t="s">
        <v>263</v>
      </c>
      <c r="C105" s="110" t="s">
        <v>264</v>
      </c>
      <c r="D105" s="91">
        <v>0</v>
      </c>
      <c r="E105" s="92">
        <v>0</v>
      </c>
      <c r="F105" s="46"/>
      <c r="G105" s="46"/>
      <c r="H105" s="46"/>
      <c r="I105" s="2">
        <f t="shared" si="56"/>
        <v>0</v>
      </c>
      <c r="J105" s="3">
        <f t="shared" si="57"/>
        <v>0.45600000000000002</v>
      </c>
      <c r="K105" s="103">
        <f>456000/1000000</f>
        <v>0.45600000000000002</v>
      </c>
      <c r="L105" s="105"/>
      <c r="M105" s="46"/>
      <c r="N105" s="47"/>
      <c r="O105" s="92">
        <v>0</v>
      </c>
      <c r="P105" s="46"/>
      <c r="Q105" s="46"/>
      <c r="R105" s="46"/>
      <c r="S105" s="2">
        <f t="shared" si="58"/>
        <v>0</v>
      </c>
      <c r="T105" s="93">
        <f t="shared" si="59"/>
        <v>0.45600000000000002</v>
      </c>
      <c r="U105" s="103">
        <f>456000/1000000</f>
        <v>0.45600000000000002</v>
      </c>
      <c r="V105" s="2">
        <v>0</v>
      </c>
      <c r="W105" s="2">
        <v>0</v>
      </c>
      <c r="X105" s="47"/>
      <c r="Y105" s="103">
        <f>T105</f>
        <v>0.45600000000000002</v>
      </c>
      <c r="Z105" s="2">
        <f t="shared" si="53"/>
        <v>-0.45600000000000002</v>
      </c>
      <c r="AA105" s="2">
        <f t="shared" si="54"/>
        <v>0.45600000000000002</v>
      </c>
      <c r="AB105" s="52" t="e">
        <f t="shared" si="55"/>
        <v>#DIV/0!</v>
      </c>
      <c r="AC105" s="46"/>
      <c r="AD105" s="46"/>
      <c r="AE105" s="53"/>
    </row>
    <row r="106" spans="1:31" ht="17.25" customHeight="1" x14ac:dyDescent="0.25">
      <c r="A106" s="108" t="s">
        <v>267</v>
      </c>
      <c r="B106" s="46" t="s">
        <v>275</v>
      </c>
      <c r="C106" s="110" t="s">
        <v>276</v>
      </c>
      <c r="D106" s="91">
        <v>0</v>
      </c>
      <c r="E106" s="92">
        <v>0</v>
      </c>
      <c r="F106" s="46"/>
      <c r="G106" s="46"/>
      <c r="H106" s="46"/>
      <c r="I106" s="2">
        <f t="shared" ref="I106" si="60">E106</f>
        <v>0</v>
      </c>
      <c r="J106" s="3">
        <f t="shared" ref="J106" si="61">K106+L106+M106+N106</f>
        <v>0</v>
      </c>
      <c r="K106" s="103"/>
      <c r="L106" s="105"/>
      <c r="M106" s="46"/>
      <c r="N106" s="47"/>
      <c r="O106" s="92">
        <v>0</v>
      </c>
      <c r="P106" s="46"/>
      <c r="Q106" s="46"/>
      <c r="R106" s="46"/>
      <c r="S106" s="2">
        <f t="shared" ref="S106" si="62">O106</f>
        <v>0</v>
      </c>
      <c r="T106" s="93">
        <f t="shared" ref="T106" si="63">U106+V106+W106+X106</f>
        <v>1.3302</v>
      </c>
      <c r="U106" s="2">
        <v>0</v>
      </c>
      <c r="V106" s="2">
        <v>0</v>
      </c>
      <c r="W106" s="3">
        <v>1.3302</v>
      </c>
      <c r="X106" s="47"/>
      <c r="Y106" s="103"/>
      <c r="Z106" s="2">
        <f t="shared" si="53"/>
        <v>0</v>
      </c>
      <c r="AA106" s="2">
        <f t="shared" si="54"/>
        <v>0</v>
      </c>
      <c r="AB106" s="52" t="e">
        <f t="shared" si="55"/>
        <v>#DIV/0!</v>
      </c>
      <c r="AC106" s="46"/>
      <c r="AD106" s="46"/>
      <c r="AE106" s="53"/>
    </row>
    <row r="107" spans="1:31" ht="17.25" customHeight="1" x14ac:dyDescent="0.25">
      <c r="A107" s="108" t="s">
        <v>270</v>
      </c>
      <c r="B107" s="46" t="s">
        <v>259</v>
      </c>
      <c r="C107" s="110" t="s">
        <v>260</v>
      </c>
      <c r="D107" s="91">
        <v>0</v>
      </c>
      <c r="E107" s="92">
        <v>0</v>
      </c>
      <c r="F107" s="46"/>
      <c r="G107" s="46"/>
      <c r="H107" s="46"/>
      <c r="I107" s="46"/>
      <c r="J107" s="3">
        <f t="shared" si="48"/>
        <v>2.5671999959999998</v>
      </c>
      <c r="K107" s="103">
        <f>2567199.996/1000000</f>
        <v>2.5671999959999998</v>
      </c>
      <c r="L107" s="105"/>
      <c r="M107" s="46"/>
      <c r="N107" s="46"/>
      <c r="O107" s="92">
        <v>0</v>
      </c>
      <c r="P107" s="46"/>
      <c r="Q107" s="46"/>
      <c r="R107" s="46"/>
      <c r="S107" s="2">
        <f t="shared" si="58"/>
        <v>0</v>
      </c>
      <c r="T107" s="106">
        <f t="shared" si="59"/>
        <v>2.26407837</v>
      </c>
      <c r="U107" s="103">
        <f>2139333.33/1000000</f>
        <v>2.1393333299999999</v>
      </c>
      <c r="V107" s="2">
        <v>0</v>
      </c>
      <c r="W107" s="47">
        <v>0.12474504</v>
      </c>
      <c r="X107" s="46"/>
      <c r="Y107" s="103">
        <f>T107</f>
        <v>2.26407837</v>
      </c>
      <c r="Z107" s="2">
        <f t="shared" si="53"/>
        <v>-2.5671999959999998</v>
      </c>
      <c r="AA107" s="2">
        <f t="shared" si="54"/>
        <v>2.5671999959999998</v>
      </c>
      <c r="AB107" s="52" t="e">
        <f t="shared" si="55"/>
        <v>#DIV/0!</v>
      </c>
      <c r="AC107" s="46"/>
      <c r="AD107" s="46"/>
      <c r="AE107" s="53"/>
    </row>
    <row r="108" spans="1:31" ht="17.25" hidden="1" customHeight="1" x14ac:dyDescent="0.25">
      <c r="A108" s="108" t="s">
        <v>271</v>
      </c>
      <c r="B108" s="46"/>
      <c r="C108" s="110"/>
      <c r="D108" s="91"/>
      <c r="E108" s="92"/>
      <c r="F108" s="46"/>
      <c r="G108" s="46"/>
      <c r="H108" s="46"/>
      <c r="I108" s="46"/>
      <c r="J108" s="3"/>
      <c r="K108" s="103"/>
      <c r="L108" s="105"/>
      <c r="M108" s="46"/>
      <c r="N108" s="46"/>
      <c r="O108" s="92"/>
      <c r="P108" s="46"/>
      <c r="Q108" s="46"/>
      <c r="R108" s="46"/>
      <c r="S108" s="46"/>
      <c r="T108" s="93"/>
      <c r="U108" s="46"/>
      <c r="V108" s="46"/>
      <c r="W108" s="46"/>
      <c r="X108" s="46"/>
      <c r="Y108" s="103"/>
      <c r="Z108" s="2"/>
      <c r="AA108" s="2"/>
      <c r="AB108" s="52"/>
      <c r="AC108" s="46"/>
      <c r="AD108" s="46"/>
      <c r="AE108" s="53"/>
    </row>
    <row r="109" spans="1:31" ht="17.25" hidden="1" customHeight="1" x14ac:dyDescent="0.25">
      <c r="A109" s="108" t="s">
        <v>272</v>
      </c>
      <c r="B109" s="46"/>
      <c r="C109" s="110"/>
      <c r="D109" s="91"/>
      <c r="E109" s="92"/>
      <c r="F109" s="46"/>
      <c r="G109" s="46"/>
      <c r="H109" s="46"/>
      <c r="I109" s="46"/>
      <c r="J109" s="3"/>
      <c r="K109" s="103"/>
      <c r="L109" s="105"/>
      <c r="M109" s="46"/>
      <c r="N109" s="46"/>
      <c r="O109" s="92"/>
      <c r="P109" s="46"/>
      <c r="Q109" s="46"/>
      <c r="R109" s="46"/>
      <c r="S109" s="46"/>
      <c r="T109" s="93"/>
      <c r="U109" s="46"/>
      <c r="V109" s="46"/>
      <c r="W109" s="46"/>
      <c r="X109" s="46"/>
      <c r="Y109" s="103"/>
      <c r="Z109" s="2"/>
      <c r="AA109" s="2"/>
      <c r="AB109" s="52"/>
      <c r="AC109" s="46"/>
      <c r="AD109" s="46"/>
      <c r="AE109" s="53"/>
    </row>
    <row r="110" spans="1:31" ht="17.25" hidden="1" customHeight="1" x14ac:dyDescent="0.25">
      <c r="A110" s="108" t="s">
        <v>273</v>
      </c>
      <c r="B110" s="46"/>
      <c r="C110" s="110"/>
      <c r="D110" s="91"/>
      <c r="E110" s="92"/>
      <c r="F110" s="46"/>
      <c r="G110" s="46"/>
      <c r="H110" s="46"/>
      <c r="I110" s="46"/>
      <c r="J110" s="3"/>
      <c r="K110" s="103"/>
      <c r="L110" s="105"/>
      <c r="M110" s="46"/>
      <c r="N110" s="46"/>
      <c r="O110" s="92"/>
      <c r="P110" s="46"/>
      <c r="Q110" s="46"/>
      <c r="R110" s="46"/>
      <c r="S110" s="46"/>
      <c r="T110" s="93"/>
      <c r="U110" s="46"/>
      <c r="V110" s="46"/>
      <c r="W110" s="46"/>
      <c r="X110" s="46"/>
      <c r="Y110" s="103"/>
      <c r="Z110" s="2"/>
      <c r="AA110" s="2"/>
      <c r="AB110" s="52"/>
      <c r="AC110" s="46"/>
      <c r="AD110" s="46"/>
      <c r="AE110" s="53"/>
    </row>
    <row r="111" spans="1:31" ht="17.25" hidden="1" customHeight="1" x14ac:dyDescent="0.25">
      <c r="A111" s="108" t="s">
        <v>274</v>
      </c>
      <c r="B111" s="46"/>
      <c r="C111" s="110"/>
      <c r="D111" s="46"/>
      <c r="E111" s="95"/>
      <c r="F111" s="46"/>
      <c r="G111" s="46"/>
      <c r="H111" s="46"/>
      <c r="I111" s="46"/>
      <c r="J111" s="46"/>
      <c r="K111" s="103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103"/>
      <c r="Z111" s="2">
        <f t="shared" ref="Z111" si="64">E111-J111</f>
        <v>0</v>
      </c>
      <c r="AA111" s="2">
        <f t="shared" ref="AA111" si="65">J111-E111</f>
        <v>0</v>
      </c>
      <c r="AB111" s="52" t="e">
        <f t="shared" ref="AB111" si="66">AA111/E111</f>
        <v>#DIV/0!</v>
      </c>
      <c r="AC111" s="46"/>
      <c r="AD111" s="46"/>
      <c r="AE111" s="53"/>
    </row>
  </sheetData>
  <mergeCells count="16">
    <mergeCell ref="AC14:AD14"/>
    <mergeCell ref="A5:AE5"/>
    <mergeCell ref="A13:A15"/>
    <mergeCell ref="B13:B15"/>
    <mergeCell ref="D13:D15"/>
    <mergeCell ref="Y13:Y14"/>
    <mergeCell ref="Z13:Z15"/>
    <mergeCell ref="AA13:AD13"/>
    <mergeCell ref="AE13:AE15"/>
    <mergeCell ref="AA14:AA15"/>
    <mergeCell ref="E14:N14"/>
    <mergeCell ref="E13:N13"/>
    <mergeCell ref="C13:C15"/>
    <mergeCell ref="O13:X13"/>
    <mergeCell ref="O14:X14"/>
    <mergeCell ref="AB14:AB15"/>
  </mergeCells>
  <phoneticPr fontId="10" type="noConversion"/>
  <dataValidations count="1">
    <dataValidation type="decimal" allowBlank="1" showErrorMessage="1" errorTitle="Ошибка" error="Допускается ввод только неотрицательных чисел!" sqref="D24:H24 J24:R24 T24:AA24">
      <formula1>0</formula1>
      <formula2>9.99999999999999E+23</formula2>
    </dataValidation>
  </dataValidations>
  <pageMargins left="0.70866141732283472" right="0.70866141732283472" top="0.74803149606299213" bottom="0.74803149606299213" header="0.31496062992125984" footer="0.31496062992125984"/>
  <pageSetup paperSize="8" scale="36" fitToHeight="0" orientation="landscape" r:id="rId1"/>
  <colBreaks count="1" manualBreakCount="1">
    <brk id="5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2"/>
  <sheetViews>
    <sheetView topLeftCell="A4" zoomScale="80" zoomScaleNormal="80" zoomScaleSheetLayoutView="70" workbookViewId="0">
      <selection activeCell="H82" sqref="H82"/>
    </sheetView>
  </sheetViews>
  <sheetFormatPr defaultRowHeight="15.75" x14ac:dyDescent="0.25"/>
  <cols>
    <col min="1" max="1" width="13" style="1" customWidth="1"/>
    <col min="2" max="2" width="60.375" style="1" customWidth="1" collapsed="1"/>
    <col min="3" max="3" width="16.625" style="1" customWidth="1"/>
    <col min="4" max="6" width="16.875" style="1" customWidth="1"/>
    <col min="7" max="9" width="14.25" style="1" customWidth="1"/>
    <col min="10" max="10" width="12.875" style="1" customWidth="1"/>
    <col min="11" max="11" width="13.125" style="1" customWidth="1"/>
    <col min="12" max="12" width="13.75" style="1" customWidth="1"/>
    <col min="13" max="13" width="13.375" style="1" customWidth="1"/>
    <col min="14" max="14" width="15.875" style="1" customWidth="1"/>
    <col min="15" max="19" width="12.625" style="1" customWidth="1"/>
    <col min="20" max="20" width="13.25" style="1" customWidth="1"/>
    <col min="21" max="54" width="12.625" style="1" customWidth="1"/>
    <col min="55" max="55" width="13.25" style="1" customWidth="1"/>
    <col min="56" max="64" width="12.625" style="1" customWidth="1"/>
    <col min="65" max="65" width="9" style="1" customWidth="1"/>
    <col min="66" max="91" width="12.625" style="1" customWidth="1"/>
    <col min="92" max="92" width="16.25" style="1" customWidth="1"/>
    <col min="93" max="125" width="12.625" style="1" customWidth="1"/>
    <col min="126" max="256" width="9" style="1"/>
    <col min="257" max="257" width="5.125" style="1" customWidth="1"/>
    <col min="258" max="258" width="54.25" style="1" customWidth="1"/>
    <col min="259" max="262" width="16.875" style="1" customWidth="1"/>
    <col min="263" max="265" width="14.25" style="1" customWidth="1"/>
    <col min="266" max="266" width="12.875" style="1" customWidth="1"/>
    <col min="267" max="267" width="13.125" style="1" customWidth="1"/>
    <col min="268" max="268" width="13.75" style="1" customWidth="1"/>
    <col min="269" max="269" width="13.375" style="1" customWidth="1"/>
    <col min="270" max="270" width="15.875" style="1" customWidth="1"/>
    <col min="271" max="275" width="12.625" style="1" customWidth="1"/>
    <col min="276" max="276" width="13.25" style="1" customWidth="1"/>
    <col min="277" max="310" width="12.625" style="1" customWidth="1"/>
    <col min="311" max="311" width="13.25" style="1" customWidth="1"/>
    <col min="312" max="320" width="12.625" style="1" customWidth="1"/>
    <col min="321" max="321" width="9" style="1" customWidth="1"/>
    <col min="322" max="347" width="12.625" style="1" customWidth="1"/>
    <col min="348" max="348" width="16.25" style="1" customWidth="1"/>
    <col min="349" max="381" width="12.625" style="1" customWidth="1"/>
    <col min="382" max="512" width="9" style="1"/>
    <col min="513" max="513" width="5.125" style="1" customWidth="1"/>
    <col min="514" max="514" width="54.25" style="1" customWidth="1"/>
    <col min="515" max="518" width="16.875" style="1" customWidth="1"/>
    <col min="519" max="521" width="14.25" style="1" customWidth="1"/>
    <col min="522" max="522" width="12.875" style="1" customWidth="1"/>
    <col min="523" max="523" width="13.125" style="1" customWidth="1"/>
    <col min="524" max="524" width="13.75" style="1" customWidth="1"/>
    <col min="525" max="525" width="13.375" style="1" customWidth="1"/>
    <col min="526" max="526" width="15.875" style="1" customWidth="1"/>
    <col min="527" max="531" width="12.625" style="1" customWidth="1"/>
    <col min="532" max="532" width="13.25" style="1" customWidth="1"/>
    <col min="533" max="566" width="12.625" style="1" customWidth="1"/>
    <col min="567" max="567" width="13.25" style="1" customWidth="1"/>
    <col min="568" max="576" width="12.625" style="1" customWidth="1"/>
    <col min="577" max="577" width="9" style="1" customWidth="1"/>
    <col min="578" max="603" width="12.625" style="1" customWidth="1"/>
    <col min="604" max="604" width="16.25" style="1" customWidth="1"/>
    <col min="605" max="637" width="12.625" style="1" customWidth="1"/>
    <col min="638" max="768" width="9" style="1"/>
    <col min="769" max="769" width="5.125" style="1" customWidth="1"/>
    <col min="770" max="770" width="54.25" style="1" customWidth="1"/>
    <col min="771" max="774" width="16.875" style="1" customWidth="1"/>
    <col min="775" max="777" width="14.25" style="1" customWidth="1"/>
    <col min="778" max="778" width="12.875" style="1" customWidth="1"/>
    <col min="779" max="779" width="13.125" style="1" customWidth="1"/>
    <col min="780" max="780" width="13.75" style="1" customWidth="1"/>
    <col min="781" max="781" width="13.375" style="1" customWidth="1"/>
    <col min="782" max="782" width="15.875" style="1" customWidth="1"/>
    <col min="783" max="787" width="12.625" style="1" customWidth="1"/>
    <col min="788" max="788" width="13.25" style="1" customWidth="1"/>
    <col min="789" max="822" width="12.625" style="1" customWidth="1"/>
    <col min="823" max="823" width="13.25" style="1" customWidth="1"/>
    <col min="824" max="832" width="12.625" style="1" customWidth="1"/>
    <col min="833" max="833" width="9" style="1" customWidth="1"/>
    <col min="834" max="859" width="12.625" style="1" customWidth="1"/>
    <col min="860" max="860" width="16.25" style="1" customWidth="1"/>
    <col min="861" max="893" width="12.625" style="1" customWidth="1"/>
    <col min="894" max="1024" width="9" style="1"/>
    <col min="1025" max="1025" width="5.125" style="1" customWidth="1"/>
    <col min="1026" max="1026" width="54.25" style="1" customWidth="1"/>
    <col min="1027" max="1030" width="16.875" style="1" customWidth="1"/>
    <col min="1031" max="1033" width="14.25" style="1" customWidth="1"/>
    <col min="1034" max="1034" width="12.875" style="1" customWidth="1"/>
    <col min="1035" max="1035" width="13.125" style="1" customWidth="1"/>
    <col min="1036" max="1036" width="13.75" style="1" customWidth="1"/>
    <col min="1037" max="1037" width="13.375" style="1" customWidth="1"/>
    <col min="1038" max="1038" width="15.875" style="1" customWidth="1"/>
    <col min="1039" max="1043" width="12.625" style="1" customWidth="1"/>
    <col min="1044" max="1044" width="13.25" style="1" customWidth="1"/>
    <col min="1045" max="1078" width="12.625" style="1" customWidth="1"/>
    <col min="1079" max="1079" width="13.25" style="1" customWidth="1"/>
    <col min="1080" max="1088" width="12.625" style="1" customWidth="1"/>
    <col min="1089" max="1089" width="9" style="1" customWidth="1"/>
    <col min="1090" max="1115" width="12.625" style="1" customWidth="1"/>
    <col min="1116" max="1116" width="16.25" style="1" customWidth="1"/>
    <col min="1117" max="1149" width="12.625" style="1" customWidth="1"/>
    <col min="1150" max="1280" width="9" style="1"/>
    <col min="1281" max="1281" width="5.125" style="1" customWidth="1"/>
    <col min="1282" max="1282" width="54.25" style="1" customWidth="1"/>
    <col min="1283" max="1286" width="16.875" style="1" customWidth="1"/>
    <col min="1287" max="1289" width="14.25" style="1" customWidth="1"/>
    <col min="1290" max="1290" width="12.875" style="1" customWidth="1"/>
    <col min="1291" max="1291" width="13.125" style="1" customWidth="1"/>
    <col min="1292" max="1292" width="13.75" style="1" customWidth="1"/>
    <col min="1293" max="1293" width="13.375" style="1" customWidth="1"/>
    <col min="1294" max="1294" width="15.875" style="1" customWidth="1"/>
    <col min="1295" max="1299" width="12.625" style="1" customWidth="1"/>
    <col min="1300" max="1300" width="13.25" style="1" customWidth="1"/>
    <col min="1301" max="1334" width="12.625" style="1" customWidth="1"/>
    <col min="1335" max="1335" width="13.25" style="1" customWidth="1"/>
    <col min="1336" max="1344" width="12.625" style="1" customWidth="1"/>
    <col min="1345" max="1345" width="9" style="1" customWidth="1"/>
    <col min="1346" max="1371" width="12.625" style="1" customWidth="1"/>
    <col min="1372" max="1372" width="16.25" style="1" customWidth="1"/>
    <col min="1373" max="1405" width="12.625" style="1" customWidth="1"/>
    <col min="1406" max="1536" width="9" style="1"/>
    <col min="1537" max="1537" width="5.125" style="1" customWidth="1"/>
    <col min="1538" max="1538" width="54.25" style="1" customWidth="1"/>
    <col min="1539" max="1542" width="16.875" style="1" customWidth="1"/>
    <col min="1543" max="1545" width="14.25" style="1" customWidth="1"/>
    <col min="1546" max="1546" width="12.875" style="1" customWidth="1"/>
    <col min="1547" max="1547" width="13.125" style="1" customWidth="1"/>
    <col min="1548" max="1548" width="13.75" style="1" customWidth="1"/>
    <col min="1549" max="1549" width="13.375" style="1" customWidth="1"/>
    <col min="1550" max="1550" width="15.875" style="1" customWidth="1"/>
    <col min="1551" max="1555" width="12.625" style="1" customWidth="1"/>
    <col min="1556" max="1556" width="13.25" style="1" customWidth="1"/>
    <col min="1557" max="1590" width="12.625" style="1" customWidth="1"/>
    <col min="1591" max="1591" width="13.25" style="1" customWidth="1"/>
    <col min="1592" max="1600" width="12.625" style="1" customWidth="1"/>
    <col min="1601" max="1601" width="9" style="1" customWidth="1"/>
    <col min="1602" max="1627" width="12.625" style="1" customWidth="1"/>
    <col min="1628" max="1628" width="16.25" style="1" customWidth="1"/>
    <col min="1629" max="1661" width="12.625" style="1" customWidth="1"/>
    <col min="1662" max="1792" width="9" style="1"/>
    <col min="1793" max="1793" width="5.125" style="1" customWidth="1"/>
    <col min="1794" max="1794" width="54.25" style="1" customWidth="1"/>
    <col min="1795" max="1798" width="16.875" style="1" customWidth="1"/>
    <col min="1799" max="1801" width="14.25" style="1" customWidth="1"/>
    <col min="1802" max="1802" width="12.875" style="1" customWidth="1"/>
    <col min="1803" max="1803" width="13.125" style="1" customWidth="1"/>
    <col min="1804" max="1804" width="13.75" style="1" customWidth="1"/>
    <col min="1805" max="1805" width="13.375" style="1" customWidth="1"/>
    <col min="1806" max="1806" width="15.875" style="1" customWidth="1"/>
    <col min="1807" max="1811" width="12.625" style="1" customWidth="1"/>
    <col min="1812" max="1812" width="13.25" style="1" customWidth="1"/>
    <col min="1813" max="1846" width="12.625" style="1" customWidth="1"/>
    <col min="1847" max="1847" width="13.25" style="1" customWidth="1"/>
    <col min="1848" max="1856" width="12.625" style="1" customWidth="1"/>
    <col min="1857" max="1857" width="9" style="1" customWidth="1"/>
    <col min="1858" max="1883" width="12.625" style="1" customWidth="1"/>
    <col min="1884" max="1884" width="16.25" style="1" customWidth="1"/>
    <col min="1885" max="1917" width="12.625" style="1" customWidth="1"/>
    <col min="1918" max="2048" width="9" style="1"/>
    <col min="2049" max="2049" width="5.125" style="1" customWidth="1"/>
    <col min="2050" max="2050" width="54.25" style="1" customWidth="1"/>
    <col min="2051" max="2054" width="16.875" style="1" customWidth="1"/>
    <col min="2055" max="2057" width="14.25" style="1" customWidth="1"/>
    <col min="2058" max="2058" width="12.875" style="1" customWidth="1"/>
    <col min="2059" max="2059" width="13.125" style="1" customWidth="1"/>
    <col min="2060" max="2060" width="13.75" style="1" customWidth="1"/>
    <col min="2061" max="2061" width="13.375" style="1" customWidth="1"/>
    <col min="2062" max="2062" width="15.875" style="1" customWidth="1"/>
    <col min="2063" max="2067" width="12.625" style="1" customWidth="1"/>
    <col min="2068" max="2068" width="13.25" style="1" customWidth="1"/>
    <col min="2069" max="2102" width="12.625" style="1" customWidth="1"/>
    <col min="2103" max="2103" width="13.25" style="1" customWidth="1"/>
    <col min="2104" max="2112" width="12.625" style="1" customWidth="1"/>
    <col min="2113" max="2113" width="9" style="1" customWidth="1"/>
    <col min="2114" max="2139" width="12.625" style="1" customWidth="1"/>
    <col min="2140" max="2140" width="16.25" style="1" customWidth="1"/>
    <col min="2141" max="2173" width="12.625" style="1" customWidth="1"/>
    <col min="2174" max="2304" width="9" style="1"/>
    <col min="2305" max="2305" width="5.125" style="1" customWidth="1"/>
    <col min="2306" max="2306" width="54.25" style="1" customWidth="1"/>
    <col min="2307" max="2310" width="16.875" style="1" customWidth="1"/>
    <col min="2311" max="2313" width="14.25" style="1" customWidth="1"/>
    <col min="2314" max="2314" width="12.875" style="1" customWidth="1"/>
    <col min="2315" max="2315" width="13.125" style="1" customWidth="1"/>
    <col min="2316" max="2316" width="13.75" style="1" customWidth="1"/>
    <col min="2317" max="2317" width="13.375" style="1" customWidth="1"/>
    <col min="2318" max="2318" width="15.875" style="1" customWidth="1"/>
    <col min="2319" max="2323" width="12.625" style="1" customWidth="1"/>
    <col min="2324" max="2324" width="13.25" style="1" customWidth="1"/>
    <col min="2325" max="2358" width="12.625" style="1" customWidth="1"/>
    <col min="2359" max="2359" width="13.25" style="1" customWidth="1"/>
    <col min="2360" max="2368" width="12.625" style="1" customWidth="1"/>
    <col min="2369" max="2369" width="9" style="1" customWidth="1"/>
    <col min="2370" max="2395" width="12.625" style="1" customWidth="1"/>
    <col min="2396" max="2396" width="16.25" style="1" customWidth="1"/>
    <col min="2397" max="2429" width="12.625" style="1" customWidth="1"/>
    <col min="2430" max="2560" width="9" style="1"/>
    <col min="2561" max="2561" width="5.125" style="1" customWidth="1"/>
    <col min="2562" max="2562" width="54.25" style="1" customWidth="1"/>
    <col min="2563" max="2566" width="16.875" style="1" customWidth="1"/>
    <col min="2567" max="2569" width="14.25" style="1" customWidth="1"/>
    <col min="2570" max="2570" width="12.875" style="1" customWidth="1"/>
    <col min="2571" max="2571" width="13.125" style="1" customWidth="1"/>
    <col min="2572" max="2572" width="13.75" style="1" customWidth="1"/>
    <col min="2573" max="2573" width="13.375" style="1" customWidth="1"/>
    <col min="2574" max="2574" width="15.875" style="1" customWidth="1"/>
    <col min="2575" max="2579" width="12.625" style="1" customWidth="1"/>
    <col min="2580" max="2580" width="13.25" style="1" customWidth="1"/>
    <col min="2581" max="2614" width="12.625" style="1" customWidth="1"/>
    <col min="2615" max="2615" width="13.25" style="1" customWidth="1"/>
    <col min="2616" max="2624" width="12.625" style="1" customWidth="1"/>
    <col min="2625" max="2625" width="9" style="1" customWidth="1"/>
    <col min="2626" max="2651" width="12.625" style="1" customWidth="1"/>
    <col min="2652" max="2652" width="16.25" style="1" customWidth="1"/>
    <col min="2653" max="2685" width="12.625" style="1" customWidth="1"/>
    <col min="2686" max="2816" width="9" style="1"/>
    <col min="2817" max="2817" width="5.125" style="1" customWidth="1"/>
    <col min="2818" max="2818" width="54.25" style="1" customWidth="1"/>
    <col min="2819" max="2822" width="16.875" style="1" customWidth="1"/>
    <col min="2823" max="2825" width="14.25" style="1" customWidth="1"/>
    <col min="2826" max="2826" width="12.875" style="1" customWidth="1"/>
    <col min="2827" max="2827" width="13.125" style="1" customWidth="1"/>
    <col min="2828" max="2828" width="13.75" style="1" customWidth="1"/>
    <col min="2829" max="2829" width="13.375" style="1" customWidth="1"/>
    <col min="2830" max="2830" width="15.875" style="1" customWidth="1"/>
    <col min="2831" max="2835" width="12.625" style="1" customWidth="1"/>
    <col min="2836" max="2836" width="13.25" style="1" customWidth="1"/>
    <col min="2837" max="2870" width="12.625" style="1" customWidth="1"/>
    <col min="2871" max="2871" width="13.25" style="1" customWidth="1"/>
    <col min="2872" max="2880" width="12.625" style="1" customWidth="1"/>
    <col min="2881" max="2881" width="9" style="1" customWidth="1"/>
    <col min="2882" max="2907" width="12.625" style="1" customWidth="1"/>
    <col min="2908" max="2908" width="16.25" style="1" customWidth="1"/>
    <col min="2909" max="2941" width="12.625" style="1" customWidth="1"/>
    <col min="2942" max="3072" width="9" style="1"/>
    <col min="3073" max="3073" width="5.125" style="1" customWidth="1"/>
    <col min="3074" max="3074" width="54.25" style="1" customWidth="1"/>
    <col min="3075" max="3078" width="16.875" style="1" customWidth="1"/>
    <col min="3079" max="3081" width="14.25" style="1" customWidth="1"/>
    <col min="3082" max="3082" width="12.875" style="1" customWidth="1"/>
    <col min="3083" max="3083" width="13.125" style="1" customWidth="1"/>
    <col min="3084" max="3084" width="13.75" style="1" customWidth="1"/>
    <col min="3085" max="3085" width="13.375" style="1" customWidth="1"/>
    <col min="3086" max="3086" width="15.875" style="1" customWidth="1"/>
    <col min="3087" max="3091" width="12.625" style="1" customWidth="1"/>
    <col min="3092" max="3092" width="13.25" style="1" customWidth="1"/>
    <col min="3093" max="3126" width="12.625" style="1" customWidth="1"/>
    <col min="3127" max="3127" width="13.25" style="1" customWidth="1"/>
    <col min="3128" max="3136" width="12.625" style="1" customWidth="1"/>
    <col min="3137" max="3137" width="9" style="1" customWidth="1"/>
    <col min="3138" max="3163" width="12.625" style="1" customWidth="1"/>
    <col min="3164" max="3164" width="16.25" style="1" customWidth="1"/>
    <col min="3165" max="3197" width="12.625" style="1" customWidth="1"/>
    <col min="3198" max="3328" width="9" style="1"/>
    <col min="3329" max="3329" width="5.125" style="1" customWidth="1"/>
    <col min="3330" max="3330" width="54.25" style="1" customWidth="1"/>
    <col min="3331" max="3334" width="16.875" style="1" customWidth="1"/>
    <col min="3335" max="3337" width="14.25" style="1" customWidth="1"/>
    <col min="3338" max="3338" width="12.875" style="1" customWidth="1"/>
    <col min="3339" max="3339" width="13.125" style="1" customWidth="1"/>
    <col min="3340" max="3340" width="13.75" style="1" customWidth="1"/>
    <col min="3341" max="3341" width="13.375" style="1" customWidth="1"/>
    <col min="3342" max="3342" width="15.875" style="1" customWidth="1"/>
    <col min="3343" max="3347" width="12.625" style="1" customWidth="1"/>
    <col min="3348" max="3348" width="13.25" style="1" customWidth="1"/>
    <col min="3349" max="3382" width="12.625" style="1" customWidth="1"/>
    <col min="3383" max="3383" width="13.25" style="1" customWidth="1"/>
    <col min="3384" max="3392" width="12.625" style="1" customWidth="1"/>
    <col min="3393" max="3393" width="9" style="1" customWidth="1"/>
    <col min="3394" max="3419" width="12.625" style="1" customWidth="1"/>
    <col min="3420" max="3420" width="16.25" style="1" customWidth="1"/>
    <col min="3421" max="3453" width="12.625" style="1" customWidth="1"/>
    <col min="3454" max="3584" width="9" style="1"/>
    <col min="3585" max="3585" width="5.125" style="1" customWidth="1"/>
    <col min="3586" max="3586" width="54.25" style="1" customWidth="1"/>
    <col min="3587" max="3590" width="16.875" style="1" customWidth="1"/>
    <col min="3591" max="3593" width="14.25" style="1" customWidth="1"/>
    <col min="3594" max="3594" width="12.875" style="1" customWidth="1"/>
    <col min="3595" max="3595" width="13.125" style="1" customWidth="1"/>
    <col min="3596" max="3596" width="13.75" style="1" customWidth="1"/>
    <col min="3597" max="3597" width="13.375" style="1" customWidth="1"/>
    <col min="3598" max="3598" width="15.875" style="1" customWidth="1"/>
    <col min="3599" max="3603" width="12.625" style="1" customWidth="1"/>
    <col min="3604" max="3604" width="13.25" style="1" customWidth="1"/>
    <col min="3605" max="3638" width="12.625" style="1" customWidth="1"/>
    <col min="3639" max="3639" width="13.25" style="1" customWidth="1"/>
    <col min="3640" max="3648" width="12.625" style="1" customWidth="1"/>
    <col min="3649" max="3649" width="9" style="1" customWidth="1"/>
    <col min="3650" max="3675" width="12.625" style="1" customWidth="1"/>
    <col min="3676" max="3676" width="16.25" style="1" customWidth="1"/>
    <col min="3677" max="3709" width="12.625" style="1" customWidth="1"/>
    <col min="3710" max="3840" width="9" style="1"/>
    <col min="3841" max="3841" width="5.125" style="1" customWidth="1"/>
    <col min="3842" max="3842" width="54.25" style="1" customWidth="1"/>
    <col min="3843" max="3846" width="16.875" style="1" customWidth="1"/>
    <col min="3847" max="3849" width="14.25" style="1" customWidth="1"/>
    <col min="3850" max="3850" width="12.875" style="1" customWidth="1"/>
    <col min="3851" max="3851" width="13.125" style="1" customWidth="1"/>
    <col min="3852" max="3852" width="13.75" style="1" customWidth="1"/>
    <col min="3853" max="3853" width="13.375" style="1" customWidth="1"/>
    <col min="3854" max="3854" width="15.875" style="1" customWidth="1"/>
    <col min="3855" max="3859" width="12.625" style="1" customWidth="1"/>
    <col min="3860" max="3860" width="13.25" style="1" customWidth="1"/>
    <col min="3861" max="3894" width="12.625" style="1" customWidth="1"/>
    <col min="3895" max="3895" width="13.25" style="1" customWidth="1"/>
    <col min="3896" max="3904" width="12.625" style="1" customWidth="1"/>
    <col min="3905" max="3905" width="9" style="1" customWidth="1"/>
    <col min="3906" max="3931" width="12.625" style="1" customWidth="1"/>
    <col min="3932" max="3932" width="16.25" style="1" customWidth="1"/>
    <col min="3933" max="3965" width="12.625" style="1" customWidth="1"/>
    <col min="3966" max="4096" width="9" style="1"/>
    <col min="4097" max="4097" width="5.125" style="1" customWidth="1"/>
    <col min="4098" max="4098" width="54.25" style="1" customWidth="1"/>
    <col min="4099" max="4102" width="16.875" style="1" customWidth="1"/>
    <col min="4103" max="4105" width="14.25" style="1" customWidth="1"/>
    <col min="4106" max="4106" width="12.875" style="1" customWidth="1"/>
    <col min="4107" max="4107" width="13.125" style="1" customWidth="1"/>
    <col min="4108" max="4108" width="13.75" style="1" customWidth="1"/>
    <col min="4109" max="4109" width="13.375" style="1" customWidth="1"/>
    <col min="4110" max="4110" width="15.875" style="1" customWidth="1"/>
    <col min="4111" max="4115" width="12.625" style="1" customWidth="1"/>
    <col min="4116" max="4116" width="13.25" style="1" customWidth="1"/>
    <col min="4117" max="4150" width="12.625" style="1" customWidth="1"/>
    <col min="4151" max="4151" width="13.25" style="1" customWidth="1"/>
    <col min="4152" max="4160" width="12.625" style="1" customWidth="1"/>
    <col min="4161" max="4161" width="9" style="1" customWidth="1"/>
    <col min="4162" max="4187" width="12.625" style="1" customWidth="1"/>
    <col min="4188" max="4188" width="16.25" style="1" customWidth="1"/>
    <col min="4189" max="4221" width="12.625" style="1" customWidth="1"/>
    <col min="4222" max="4352" width="9" style="1"/>
    <col min="4353" max="4353" width="5.125" style="1" customWidth="1"/>
    <col min="4354" max="4354" width="54.25" style="1" customWidth="1"/>
    <col min="4355" max="4358" width="16.875" style="1" customWidth="1"/>
    <col min="4359" max="4361" width="14.25" style="1" customWidth="1"/>
    <col min="4362" max="4362" width="12.875" style="1" customWidth="1"/>
    <col min="4363" max="4363" width="13.125" style="1" customWidth="1"/>
    <col min="4364" max="4364" width="13.75" style="1" customWidth="1"/>
    <col min="4365" max="4365" width="13.375" style="1" customWidth="1"/>
    <col min="4366" max="4366" width="15.875" style="1" customWidth="1"/>
    <col min="4367" max="4371" width="12.625" style="1" customWidth="1"/>
    <col min="4372" max="4372" width="13.25" style="1" customWidth="1"/>
    <col min="4373" max="4406" width="12.625" style="1" customWidth="1"/>
    <col min="4407" max="4407" width="13.25" style="1" customWidth="1"/>
    <col min="4408" max="4416" width="12.625" style="1" customWidth="1"/>
    <col min="4417" max="4417" width="9" style="1" customWidth="1"/>
    <col min="4418" max="4443" width="12.625" style="1" customWidth="1"/>
    <col min="4444" max="4444" width="16.25" style="1" customWidth="1"/>
    <col min="4445" max="4477" width="12.625" style="1" customWidth="1"/>
    <col min="4478" max="4608" width="9" style="1"/>
    <col min="4609" max="4609" width="5.125" style="1" customWidth="1"/>
    <col min="4610" max="4610" width="54.25" style="1" customWidth="1"/>
    <col min="4611" max="4614" width="16.875" style="1" customWidth="1"/>
    <col min="4615" max="4617" width="14.25" style="1" customWidth="1"/>
    <col min="4618" max="4618" width="12.875" style="1" customWidth="1"/>
    <col min="4619" max="4619" width="13.125" style="1" customWidth="1"/>
    <col min="4620" max="4620" width="13.75" style="1" customWidth="1"/>
    <col min="4621" max="4621" width="13.375" style="1" customWidth="1"/>
    <col min="4622" max="4622" width="15.875" style="1" customWidth="1"/>
    <col min="4623" max="4627" width="12.625" style="1" customWidth="1"/>
    <col min="4628" max="4628" width="13.25" style="1" customWidth="1"/>
    <col min="4629" max="4662" width="12.625" style="1" customWidth="1"/>
    <col min="4663" max="4663" width="13.25" style="1" customWidth="1"/>
    <col min="4664" max="4672" width="12.625" style="1" customWidth="1"/>
    <col min="4673" max="4673" width="9" style="1" customWidth="1"/>
    <col min="4674" max="4699" width="12.625" style="1" customWidth="1"/>
    <col min="4700" max="4700" width="16.25" style="1" customWidth="1"/>
    <col min="4701" max="4733" width="12.625" style="1" customWidth="1"/>
    <col min="4734" max="4864" width="9" style="1"/>
    <col min="4865" max="4865" width="5.125" style="1" customWidth="1"/>
    <col min="4866" max="4866" width="54.25" style="1" customWidth="1"/>
    <col min="4867" max="4870" width="16.875" style="1" customWidth="1"/>
    <col min="4871" max="4873" width="14.25" style="1" customWidth="1"/>
    <col min="4874" max="4874" width="12.875" style="1" customWidth="1"/>
    <col min="4875" max="4875" width="13.125" style="1" customWidth="1"/>
    <col min="4876" max="4876" width="13.75" style="1" customWidth="1"/>
    <col min="4877" max="4877" width="13.375" style="1" customWidth="1"/>
    <col min="4878" max="4878" width="15.875" style="1" customWidth="1"/>
    <col min="4879" max="4883" width="12.625" style="1" customWidth="1"/>
    <col min="4884" max="4884" width="13.25" style="1" customWidth="1"/>
    <col min="4885" max="4918" width="12.625" style="1" customWidth="1"/>
    <col min="4919" max="4919" width="13.25" style="1" customWidth="1"/>
    <col min="4920" max="4928" width="12.625" style="1" customWidth="1"/>
    <col min="4929" max="4929" width="9" style="1" customWidth="1"/>
    <col min="4930" max="4955" width="12.625" style="1" customWidth="1"/>
    <col min="4956" max="4956" width="16.25" style="1" customWidth="1"/>
    <col min="4957" max="4989" width="12.625" style="1" customWidth="1"/>
    <col min="4990" max="5120" width="9" style="1"/>
    <col min="5121" max="5121" width="5.125" style="1" customWidth="1"/>
    <col min="5122" max="5122" width="54.25" style="1" customWidth="1"/>
    <col min="5123" max="5126" width="16.875" style="1" customWidth="1"/>
    <col min="5127" max="5129" width="14.25" style="1" customWidth="1"/>
    <col min="5130" max="5130" width="12.875" style="1" customWidth="1"/>
    <col min="5131" max="5131" width="13.125" style="1" customWidth="1"/>
    <col min="5132" max="5132" width="13.75" style="1" customWidth="1"/>
    <col min="5133" max="5133" width="13.375" style="1" customWidth="1"/>
    <col min="5134" max="5134" width="15.875" style="1" customWidth="1"/>
    <col min="5135" max="5139" width="12.625" style="1" customWidth="1"/>
    <col min="5140" max="5140" width="13.25" style="1" customWidth="1"/>
    <col min="5141" max="5174" width="12.625" style="1" customWidth="1"/>
    <col min="5175" max="5175" width="13.25" style="1" customWidth="1"/>
    <col min="5176" max="5184" width="12.625" style="1" customWidth="1"/>
    <col min="5185" max="5185" width="9" style="1" customWidth="1"/>
    <col min="5186" max="5211" width="12.625" style="1" customWidth="1"/>
    <col min="5212" max="5212" width="16.25" style="1" customWidth="1"/>
    <col min="5213" max="5245" width="12.625" style="1" customWidth="1"/>
    <col min="5246" max="5376" width="9" style="1"/>
    <col min="5377" max="5377" width="5.125" style="1" customWidth="1"/>
    <col min="5378" max="5378" width="54.25" style="1" customWidth="1"/>
    <col min="5379" max="5382" width="16.875" style="1" customWidth="1"/>
    <col min="5383" max="5385" width="14.25" style="1" customWidth="1"/>
    <col min="5386" max="5386" width="12.875" style="1" customWidth="1"/>
    <col min="5387" max="5387" width="13.125" style="1" customWidth="1"/>
    <col min="5388" max="5388" width="13.75" style="1" customWidth="1"/>
    <col min="5389" max="5389" width="13.375" style="1" customWidth="1"/>
    <col min="5390" max="5390" width="15.875" style="1" customWidth="1"/>
    <col min="5391" max="5395" width="12.625" style="1" customWidth="1"/>
    <col min="5396" max="5396" width="13.25" style="1" customWidth="1"/>
    <col min="5397" max="5430" width="12.625" style="1" customWidth="1"/>
    <col min="5431" max="5431" width="13.25" style="1" customWidth="1"/>
    <col min="5432" max="5440" width="12.625" style="1" customWidth="1"/>
    <col min="5441" max="5441" width="9" style="1" customWidth="1"/>
    <col min="5442" max="5467" width="12.625" style="1" customWidth="1"/>
    <col min="5468" max="5468" width="16.25" style="1" customWidth="1"/>
    <col min="5469" max="5501" width="12.625" style="1" customWidth="1"/>
    <col min="5502" max="5632" width="9" style="1"/>
    <col min="5633" max="5633" width="5.125" style="1" customWidth="1"/>
    <col min="5634" max="5634" width="54.25" style="1" customWidth="1"/>
    <col min="5635" max="5638" width="16.875" style="1" customWidth="1"/>
    <col min="5639" max="5641" width="14.25" style="1" customWidth="1"/>
    <col min="5642" max="5642" width="12.875" style="1" customWidth="1"/>
    <col min="5643" max="5643" width="13.125" style="1" customWidth="1"/>
    <col min="5644" max="5644" width="13.75" style="1" customWidth="1"/>
    <col min="5645" max="5645" width="13.375" style="1" customWidth="1"/>
    <col min="5646" max="5646" width="15.875" style="1" customWidth="1"/>
    <col min="5647" max="5651" width="12.625" style="1" customWidth="1"/>
    <col min="5652" max="5652" width="13.25" style="1" customWidth="1"/>
    <col min="5653" max="5686" width="12.625" style="1" customWidth="1"/>
    <col min="5687" max="5687" width="13.25" style="1" customWidth="1"/>
    <col min="5688" max="5696" width="12.625" style="1" customWidth="1"/>
    <col min="5697" max="5697" width="9" style="1" customWidth="1"/>
    <col min="5698" max="5723" width="12.625" style="1" customWidth="1"/>
    <col min="5724" max="5724" width="16.25" style="1" customWidth="1"/>
    <col min="5725" max="5757" width="12.625" style="1" customWidth="1"/>
    <col min="5758" max="5888" width="9" style="1"/>
    <col min="5889" max="5889" width="5.125" style="1" customWidth="1"/>
    <col min="5890" max="5890" width="54.25" style="1" customWidth="1"/>
    <col min="5891" max="5894" width="16.875" style="1" customWidth="1"/>
    <col min="5895" max="5897" width="14.25" style="1" customWidth="1"/>
    <col min="5898" max="5898" width="12.875" style="1" customWidth="1"/>
    <col min="5899" max="5899" width="13.125" style="1" customWidth="1"/>
    <col min="5900" max="5900" width="13.75" style="1" customWidth="1"/>
    <col min="5901" max="5901" width="13.375" style="1" customWidth="1"/>
    <col min="5902" max="5902" width="15.875" style="1" customWidth="1"/>
    <col min="5903" max="5907" width="12.625" style="1" customWidth="1"/>
    <col min="5908" max="5908" width="13.25" style="1" customWidth="1"/>
    <col min="5909" max="5942" width="12.625" style="1" customWidth="1"/>
    <col min="5943" max="5943" width="13.25" style="1" customWidth="1"/>
    <col min="5944" max="5952" width="12.625" style="1" customWidth="1"/>
    <col min="5953" max="5953" width="9" style="1" customWidth="1"/>
    <col min="5954" max="5979" width="12.625" style="1" customWidth="1"/>
    <col min="5980" max="5980" width="16.25" style="1" customWidth="1"/>
    <col min="5981" max="6013" width="12.625" style="1" customWidth="1"/>
    <col min="6014" max="6144" width="9" style="1"/>
    <col min="6145" max="6145" width="5.125" style="1" customWidth="1"/>
    <col min="6146" max="6146" width="54.25" style="1" customWidth="1"/>
    <col min="6147" max="6150" width="16.875" style="1" customWidth="1"/>
    <col min="6151" max="6153" width="14.25" style="1" customWidth="1"/>
    <col min="6154" max="6154" width="12.875" style="1" customWidth="1"/>
    <col min="6155" max="6155" width="13.125" style="1" customWidth="1"/>
    <col min="6156" max="6156" width="13.75" style="1" customWidth="1"/>
    <col min="6157" max="6157" width="13.375" style="1" customWidth="1"/>
    <col min="6158" max="6158" width="15.875" style="1" customWidth="1"/>
    <col min="6159" max="6163" width="12.625" style="1" customWidth="1"/>
    <col min="6164" max="6164" width="13.25" style="1" customWidth="1"/>
    <col min="6165" max="6198" width="12.625" style="1" customWidth="1"/>
    <col min="6199" max="6199" width="13.25" style="1" customWidth="1"/>
    <col min="6200" max="6208" width="12.625" style="1" customWidth="1"/>
    <col min="6209" max="6209" width="9" style="1" customWidth="1"/>
    <col min="6210" max="6235" width="12.625" style="1" customWidth="1"/>
    <col min="6236" max="6236" width="16.25" style="1" customWidth="1"/>
    <col min="6237" max="6269" width="12.625" style="1" customWidth="1"/>
    <col min="6270" max="6400" width="9" style="1"/>
    <col min="6401" max="6401" width="5.125" style="1" customWidth="1"/>
    <col min="6402" max="6402" width="54.25" style="1" customWidth="1"/>
    <col min="6403" max="6406" width="16.875" style="1" customWidth="1"/>
    <col min="6407" max="6409" width="14.25" style="1" customWidth="1"/>
    <col min="6410" max="6410" width="12.875" style="1" customWidth="1"/>
    <col min="6411" max="6411" width="13.125" style="1" customWidth="1"/>
    <col min="6412" max="6412" width="13.75" style="1" customWidth="1"/>
    <col min="6413" max="6413" width="13.375" style="1" customWidth="1"/>
    <col min="6414" max="6414" width="15.875" style="1" customWidth="1"/>
    <col min="6415" max="6419" width="12.625" style="1" customWidth="1"/>
    <col min="6420" max="6420" width="13.25" style="1" customWidth="1"/>
    <col min="6421" max="6454" width="12.625" style="1" customWidth="1"/>
    <col min="6455" max="6455" width="13.25" style="1" customWidth="1"/>
    <col min="6456" max="6464" width="12.625" style="1" customWidth="1"/>
    <col min="6465" max="6465" width="9" style="1" customWidth="1"/>
    <col min="6466" max="6491" width="12.625" style="1" customWidth="1"/>
    <col min="6492" max="6492" width="16.25" style="1" customWidth="1"/>
    <col min="6493" max="6525" width="12.625" style="1" customWidth="1"/>
    <col min="6526" max="6656" width="9" style="1"/>
    <col min="6657" max="6657" width="5.125" style="1" customWidth="1"/>
    <col min="6658" max="6658" width="54.25" style="1" customWidth="1"/>
    <col min="6659" max="6662" width="16.875" style="1" customWidth="1"/>
    <col min="6663" max="6665" width="14.25" style="1" customWidth="1"/>
    <col min="6666" max="6666" width="12.875" style="1" customWidth="1"/>
    <col min="6667" max="6667" width="13.125" style="1" customWidth="1"/>
    <col min="6668" max="6668" width="13.75" style="1" customWidth="1"/>
    <col min="6669" max="6669" width="13.375" style="1" customWidth="1"/>
    <col min="6670" max="6670" width="15.875" style="1" customWidth="1"/>
    <col min="6671" max="6675" width="12.625" style="1" customWidth="1"/>
    <col min="6676" max="6676" width="13.25" style="1" customWidth="1"/>
    <col min="6677" max="6710" width="12.625" style="1" customWidth="1"/>
    <col min="6711" max="6711" width="13.25" style="1" customWidth="1"/>
    <col min="6712" max="6720" width="12.625" style="1" customWidth="1"/>
    <col min="6721" max="6721" width="9" style="1" customWidth="1"/>
    <col min="6722" max="6747" width="12.625" style="1" customWidth="1"/>
    <col min="6748" max="6748" width="16.25" style="1" customWidth="1"/>
    <col min="6749" max="6781" width="12.625" style="1" customWidth="1"/>
    <col min="6782" max="6912" width="9" style="1"/>
    <col min="6913" max="6913" width="5.125" style="1" customWidth="1"/>
    <col min="6914" max="6914" width="54.25" style="1" customWidth="1"/>
    <col min="6915" max="6918" width="16.875" style="1" customWidth="1"/>
    <col min="6919" max="6921" width="14.25" style="1" customWidth="1"/>
    <col min="6922" max="6922" width="12.875" style="1" customWidth="1"/>
    <col min="6923" max="6923" width="13.125" style="1" customWidth="1"/>
    <col min="6924" max="6924" width="13.75" style="1" customWidth="1"/>
    <col min="6925" max="6925" width="13.375" style="1" customWidth="1"/>
    <col min="6926" max="6926" width="15.875" style="1" customWidth="1"/>
    <col min="6927" max="6931" width="12.625" style="1" customWidth="1"/>
    <col min="6932" max="6932" width="13.25" style="1" customWidth="1"/>
    <col min="6933" max="6966" width="12.625" style="1" customWidth="1"/>
    <col min="6967" max="6967" width="13.25" style="1" customWidth="1"/>
    <col min="6968" max="6976" width="12.625" style="1" customWidth="1"/>
    <col min="6977" max="6977" width="9" style="1" customWidth="1"/>
    <col min="6978" max="7003" width="12.625" style="1" customWidth="1"/>
    <col min="7004" max="7004" width="16.25" style="1" customWidth="1"/>
    <col min="7005" max="7037" width="12.625" style="1" customWidth="1"/>
    <col min="7038" max="7168" width="9" style="1"/>
    <col min="7169" max="7169" width="5.125" style="1" customWidth="1"/>
    <col min="7170" max="7170" width="54.25" style="1" customWidth="1"/>
    <col min="7171" max="7174" width="16.875" style="1" customWidth="1"/>
    <col min="7175" max="7177" width="14.25" style="1" customWidth="1"/>
    <col min="7178" max="7178" width="12.875" style="1" customWidth="1"/>
    <col min="7179" max="7179" width="13.125" style="1" customWidth="1"/>
    <col min="7180" max="7180" width="13.75" style="1" customWidth="1"/>
    <col min="7181" max="7181" width="13.375" style="1" customWidth="1"/>
    <col min="7182" max="7182" width="15.875" style="1" customWidth="1"/>
    <col min="7183" max="7187" width="12.625" style="1" customWidth="1"/>
    <col min="7188" max="7188" width="13.25" style="1" customWidth="1"/>
    <col min="7189" max="7222" width="12.625" style="1" customWidth="1"/>
    <col min="7223" max="7223" width="13.25" style="1" customWidth="1"/>
    <col min="7224" max="7232" width="12.625" style="1" customWidth="1"/>
    <col min="7233" max="7233" width="9" style="1" customWidth="1"/>
    <col min="7234" max="7259" width="12.625" style="1" customWidth="1"/>
    <col min="7260" max="7260" width="16.25" style="1" customWidth="1"/>
    <col min="7261" max="7293" width="12.625" style="1" customWidth="1"/>
    <col min="7294" max="7424" width="9" style="1"/>
    <col min="7425" max="7425" width="5.125" style="1" customWidth="1"/>
    <col min="7426" max="7426" width="54.25" style="1" customWidth="1"/>
    <col min="7427" max="7430" width="16.875" style="1" customWidth="1"/>
    <col min="7431" max="7433" width="14.25" style="1" customWidth="1"/>
    <col min="7434" max="7434" width="12.875" style="1" customWidth="1"/>
    <col min="7435" max="7435" width="13.125" style="1" customWidth="1"/>
    <col min="7436" max="7436" width="13.75" style="1" customWidth="1"/>
    <col min="7437" max="7437" width="13.375" style="1" customWidth="1"/>
    <col min="7438" max="7438" width="15.875" style="1" customWidth="1"/>
    <col min="7439" max="7443" width="12.625" style="1" customWidth="1"/>
    <col min="7444" max="7444" width="13.25" style="1" customWidth="1"/>
    <col min="7445" max="7478" width="12.625" style="1" customWidth="1"/>
    <col min="7479" max="7479" width="13.25" style="1" customWidth="1"/>
    <col min="7480" max="7488" width="12.625" style="1" customWidth="1"/>
    <col min="7489" max="7489" width="9" style="1" customWidth="1"/>
    <col min="7490" max="7515" width="12.625" style="1" customWidth="1"/>
    <col min="7516" max="7516" width="16.25" style="1" customWidth="1"/>
    <col min="7517" max="7549" width="12.625" style="1" customWidth="1"/>
    <col min="7550" max="7680" width="9" style="1"/>
    <col min="7681" max="7681" width="5.125" style="1" customWidth="1"/>
    <col min="7682" max="7682" width="54.25" style="1" customWidth="1"/>
    <col min="7683" max="7686" width="16.875" style="1" customWidth="1"/>
    <col min="7687" max="7689" width="14.25" style="1" customWidth="1"/>
    <col min="7690" max="7690" width="12.875" style="1" customWidth="1"/>
    <col min="7691" max="7691" width="13.125" style="1" customWidth="1"/>
    <col min="7692" max="7692" width="13.75" style="1" customWidth="1"/>
    <col min="7693" max="7693" width="13.375" style="1" customWidth="1"/>
    <col min="7694" max="7694" width="15.875" style="1" customWidth="1"/>
    <col min="7695" max="7699" width="12.625" style="1" customWidth="1"/>
    <col min="7700" max="7700" width="13.25" style="1" customWidth="1"/>
    <col min="7701" max="7734" width="12.625" style="1" customWidth="1"/>
    <col min="7735" max="7735" width="13.25" style="1" customWidth="1"/>
    <col min="7736" max="7744" width="12.625" style="1" customWidth="1"/>
    <col min="7745" max="7745" width="9" style="1" customWidth="1"/>
    <col min="7746" max="7771" width="12.625" style="1" customWidth="1"/>
    <col min="7772" max="7772" width="16.25" style="1" customWidth="1"/>
    <col min="7773" max="7805" width="12.625" style="1" customWidth="1"/>
    <col min="7806" max="7936" width="9" style="1"/>
    <col min="7937" max="7937" width="5.125" style="1" customWidth="1"/>
    <col min="7938" max="7938" width="54.25" style="1" customWidth="1"/>
    <col min="7939" max="7942" width="16.875" style="1" customWidth="1"/>
    <col min="7943" max="7945" width="14.25" style="1" customWidth="1"/>
    <col min="7946" max="7946" width="12.875" style="1" customWidth="1"/>
    <col min="7947" max="7947" width="13.125" style="1" customWidth="1"/>
    <col min="7948" max="7948" width="13.75" style="1" customWidth="1"/>
    <col min="7949" max="7949" width="13.375" style="1" customWidth="1"/>
    <col min="7950" max="7950" width="15.875" style="1" customWidth="1"/>
    <col min="7951" max="7955" width="12.625" style="1" customWidth="1"/>
    <col min="7956" max="7956" width="13.25" style="1" customWidth="1"/>
    <col min="7957" max="7990" width="12.625" style="1" customWidth="1"/>
    <col min="7991" max="7991" width="13.25" style="1" customWidth="1"/>
    <col min="7992" max="8000" width="12.625" style="1" customWidth="1"/>
    <col min="8001" max="8001" width="9" style="1" customWidth="1"/>
    <col min="8002" max="8027" width="12.625" style="1" customWidth="1"/>
    <col min="8028" max="8028" width="16.25" style="1" customWidth="1"/>
    <col min="8029" max="8061" width="12.625" style="1" customWidth="1"/>
    <col min="8062" max="8192" width="9" style="1"/>
    <col min="8193" max="8193" width="5.125" style="1" customWidth="1"/>
    <col min="8194" max="8194" width="54.25" style="1" customWidth="1"/>
    <col min="8195" max="8198" width="16.875" style="1" customWidth="1"/>
    <col min="8199" max="8201" width="14.25" style="1" customWidth="1"/>
    <col min="8202" max="8202" width="12.875" style="1" customWidth="1"/>
    <col min="8203" max="8203" width="13.125" style="1" customWidth="1"/>
    <col min="8204" max="8204" width="13.75" style="1" customWidth="1"/>
    <col min="8205" max="8205" width="13.375" style="1" customWidth="1"/>
    <col min="8206" max="8206" width="15.875" style="1" customWidth="1"/>
    <col min="8207" max="8211" width="12.625" style="1" customWidth="1"/>
    <col min="8212" max="8212" width="13.25" style="1" customWidth="1"/>
    <col min="8213" max="8246" width="12.625" style="1" customWidth="1"/>
    <col min="8247" max="8247" width="13.25" style="1" customWidth="1"/>
    <col min="8248" max="8256" width="12.625" style="1" customWidth="1"/>
    <col min="8257" max="8257" width="9" style="1" customWidth="1"/>
    <col min="8258" max="8283" width="12.625" style="1" customWidth="1"/>
    <col min="8284" max="8284" width="16.25" style="1" customWidth="1"/>
    <col min="8285" max="8317" width="12.625" style="1" customWidth="1"/>
    <col min="8318" max="8448" width="9" style="1"/>
    <col min="8449" max="8449" width="5.125" style="1" customWidth="1"/>
    <col min="8450" max="8450" width="54.25" style="1" customWidth="1"/>
    <col min="8451" max="8454" width="16.875" style="1" customWidth="1"/>
    <col min="8455" max="8457" width="14.25" style="1" customWidth="1"/>
    <col min="8458" max="8458" width="12.875" style="1" customWidth="1"/>
    <col min="8459" max="8459" width="13.125" style="1" customWidth="1"/>
    <col min="8460" max="8460" width="13.75" style="1" customWidth="1"/>
    <col min="8461" max="8461" width="13.375" style="1" customWidth="1"/>
    <col min="8462" max="8462" width="15.875" style="1" customWidth="1"/>
    <col min="8463" max="8467" width="12.625" style="1" customWidth="1"/>
    <col min="8468" max="8468" width="13.25" style="1" customWidth="1"/>
    <col min="8469" max="8502" width="12.625" style="1" customWidth="1"/>
    <col min="8503" max="8503" width="13.25" style="1" customWidth="1"/>
    <col min="8504" max="8512" width="12.625" style="1" customWidth="1"/>
    <col min="8513" max="8513" width="9" style="1" customWidth="1"/>
    <col min="8514" max="8539" width="12.625" style="1" customWidth="1"/>
    <col min="8540" max="8540" width="16.25" style="1" customWidth="1"/>
    <col min="8541" max="8573" width="12.625" style="1" customWidth="1"/>
    <col min="8574" max="8704" width="9" style="1"/>
    <col min="8705" max="8705" width="5.125" style="1" customWidth="1"/>
    <col min="8706" max="8706" width="54.25" style="1" customWidth="1"/>
    <col min="8707" max="8710" width="16.875" style="1" customWidth="1"/>
    <col min="8711" max="8713" width="14.25" style="1" customWidth="1"/>
    <col min="8714" max="8714" width="12.875" style="1" customWidth="1"/>
    <col min="8715" max="8715" width="13.125" style="1" customWidth="1"/>
    <col min="8716" max="8716" width="13.75" style="1" customWidth="1"/>
    <col min="8717" max="8717" width="13.375" style="1" customWidth="1"/>
    <col min="8718" max="8718" width="15.875" style="1" customWidth="1"/>
    <col min="8719" max="8723" width="12.625" style="1" customWidth="1"/>
    <col min="8724" max="8724" width="13.25" style="1" customWidth="1"/>
    <col min="8725" max="8758" width="12.625" style="1" customWidth="1"/>
    <col min="8759" max="8759" width="13.25" style="1" customWidth="1"/>
    <col min="8760" max="8768" width="12.625" style="1" customWidth="1"/>
    <col min="8769" max="8769" width="9" style="1" customWidth="1"/>
    <col min="8770" max="8795" width="12.625" style="1" customWidth="1"/>
    <col min="8796" max="8796" width="16.25" style="1" customWidth="1"/>
    <col min="8797" max="8829" width="12.625" style="1" customWidth="1"/>
    <col min="8830" max="8960" width="9" style="1"/>
    <col min="8961" max="8961" width="5.125" style="1" customWidth="1"/>
    <col min="8962" max="8962" width="54.25" style="1" customWidth="1"/>
    <col min="8963" max="8966" width="16.875" style="1" customWidth="1"/>
    <col min="8967" max="8969" width="14.25" style="1" customWidth="1"/>
    <col min="8970" max="8970" width="12.875" style="1" customWidth="1"/>
    <col min="8971" max="8971" width="13.125" style="1" customWidth="1"/>
    <col min="8972" max="8972" width="13.75" style="1" customWidth="1"/>
    <col min="8973" max="8973" width="13.375" style="1" customWidth="1"/>
    <col min="8974" max="8974" width="15.875" style="1" customWidth="1"/>
    <col min="8975" max="8979" width="12.625" style="1" customWidth="1"/>
    <col min="8980" max="8980" width="13.25" style="1" customWidth="1"/>
    <col min="8981" max="9014" width="12.625" style="1" customWidth="1"/>
    <col min="9015" max="9015" width="13.25" style="1" customWidth="1"/>
    <col min="9016" max="9024" width="12.625" style="1" customWidth="1"/>
    <col min="9025" max="9025" width="9" style="1" customWidth="1"/>
    <col min="9026" max="9051" width="12.625" style="1" customWidth="1"/>
    <col min="9052" max="9052" width="16.25" style="1" customWidth="1"/>
    <col min="9053" max="9085" width="12.625" style="1" customWidth="1"/>
    <col min="9086" max="9216" width="9" style="1"/>
    <col min="9217" max="9217" width="5.125" style="1" customWidth="1"/>
    <col min="9218" max="9218" width="54.25" style="1" customWidth="1"/>
    <col min="9219" max="9222" width="16.875" style="1" customWidth="1"/>
    <col min="9223" max="9225" width="14.25" style="1" customWidth="1"/>
    <col min="9226" max="9226" width="12.875" style="1" customWidth="1"/>
    <col min="9227" max="9227" width="13.125" style="1" customWidth="1"/>
    <col min="9228" max="9228" width="13.75" style="1" customWidth="1"/>
    <col min="9229" max="9229" width="13.375" style="1" customWidth="1"/>
    <col min="9230" max="9230" width="15.875" style="1" customWidth="1"/>
    <col min="9231" max="9235" width="12.625" style="1" customWidth="1"/>
    <col min="9236" max="9236" width="13.25" style="1" customWidth="1"/>
    <col min="9237" max="9270" width="12.625" style="1" customWidth="1"/>
    <col min="9271" max="9271" width="13.25" style="1" customWidth="1"/>
    <col min="9272" max="9280" width="12.625" style="1" customWidth="1"/>
    <col min="9281" max="9281" width="9" style="1" customWidth="1"/>
    <col min="9282" max="9307" width="12.625" style="1" customWidth="1"/>
    <col min="9308" max="9308" width="16.25" style="1" customWidth="1"/>
    <col min="9309" max="9341" width="12.625" style="1" customWidth="1"/>
    <col min="9342" max="9472" width="9" style="1"/>
    <col min="9473" max="9473" width="5.125" style="1" customWidth="1"/>
    <col min="9474" max="9474" width="54.25" style="1" customWidth="1"/>
    <col min="9475" max="9478" width="16.875" style="1" customWidth="1"/>
    <col min="9479" max="9481" width="14.25" style="1" customWidth="1"/>
    <col min="9482" max="9482" width="12.875" style="1" customWidth="1"/>
    <col min="9483" max="9483" width="13.125" style="1" customWidth="1"/>
    <col min="9484" max="9484" width="13.75" style="1" customWidth="1"/>
    <col min="9485" max="9485" width="13.375" style="1" customWidth="1"/>
    <col min="9486" max="9486" width="15.875" style="1" customWidth="1"/>
    <col min="9487" max="9491" width="12.625" style="1" customWidth="1"/>
    <col min="9492" max="9492" width="13.25" style="1" customWidth="1"/>
    <col min="9493" max="9526" width="12.625" style="1" customWidth="1"/>
    <col min="9527" max="9527" width="13.25" style="1" customWidth="1"/>
    <col min="9528" max="9536" width="12.625" style="1" customWidth="1"/>
    <col min="9537" max="9537" width="9" style="1" customWidth="1"/>
    <col min="9538" max="9563" width="12.625" style="1" customWidth="1"/>
    <col min="9564" max="9564" width="16.25" style="1" customWidth="1"/>
    <col min="9565" max="9597" width="12.625" style="1" customWidth="1"/>
    <col min="9598" max="9728" width="9" style="1"/>
    <col min="9729" max="9729" width="5.125" style="1" customWidth="1"/>
    <col min="9730" max="9730" width="54.25" style="1" customWidth="1"/>
    <col min="9731" max="9734" width="16.875" style="1" customWidth="1"/>
    <col min="9735" max="9737" width="14.25" style="1" customWidth="1"/>
    <col min="9738" max="9738" width="12.875" style="1" customWidth="1"/>
    <col min="9739" max="9739" width="13.125" style="1" customWidth="1"/>
    <col min="9740" max="9740" width="13.75" style="1" customWidth="1"/>
    <col min="9741" max="9741" width="13.375" style="1" customWidth="1"/>
    <col min="9742" max="9742" width="15.875" style="1" customWidth="1"/>
    <col min="9743" max="9747" width="12.625" style="1" customWidth="1"/>
    <col min="9748" max="9748" width="13.25" style="1" customWidth="1"/>
    <col min="9749" max="9782" width="12.625" style="1" customWidth="1"/>
    <col min="9783" max="9783" width="13.25" style="1" customWidth="1"/>
    <col min="9784" max="9792" width="12.625" style="1" customWidth="1"/>
    <col min="9793" max="9793" width="9" style="1" customWidth="1"/>
    <col min="9794" max="9819" width="12.625" style="1" customWidth="1"/>
    <col min="9820" max="9820" width="16.25" style="1" customWidth="1"/>
    <col min="9821" max="9853" width="12.625" style="1" customWidth="1"/>
    <col min="9854" max="9984" width="9" style="1"/>
    <col min="9985" max="9985" width="5.125" style="1" customWidth="1"/>
    <col min="9986" max="9986" width="54.25" style="1" customWidth="1"/>
    <col min="9987" max="9990" width="16.875" style="1" customWidth="1"/>
    <col min="9991" max="9993" width="14.25" style="1" customWidth="1"/>
    <col min="9994" max="9994" width="12.875" style="1" customWidth="1"/>
    <col min="9995" max="9995" width="13.125" style="1" customWidth="1"/>
    <col min="9996" max="9996" width="13.75" style="1" customWidth="1"/>
    <col min="9997" max="9997" width="13.375" style="1" customWidth="1"/>
    <col min="9998" max="9998" width="15.875" style="1" customWidth="1"/>
    <col min="9999" max="10003" width="12.625" style="1" customWidth="1"/>
    <col min="10004" max="10004" width="13.25" style="1" customWidth="1"/>
    <col min="10005" max="10038" width="12.625" style="1" customWidth="1"/>
    <col min="10039" max="10039" width="13.25" style="1" customWidth="1"/>
    <col min="10040" max="10048" width="12.625" style="1" customWidth="1"/>
    <col min="10049" max="10049" width="9" style="1" customWidth="1"/>
    <col min="10050" max="10075" width="12.625" style="1" customWidth="1"/>
    <col min="10076" max="10076" width="16.25" style="1" customWidth="1"/>
    <col min="10077" max="10109" width="12.625" style="1" customWidth="1"/>
    <col min="10110" max="10240" width="9" style="1"/>
    <col min="10241" max="10241" width="5.125" style="1" customWidth="1"/>
    <col min="10242" max="10242" width="54.25" style="1" customWidth="1"/>
    <col min="10243" max="10246" width="16.875" style="1" customWidth="1"/>
    <col min="10247" max="10249" width="14.25" style="1" customWidth="1"/>
    <col min="10250" max="10250" width="12.875" style="1" customWidth="1"/>
    <col min="10251" max="10251" width="13.125" style="1" customWidth="1"/>
    <col min="10252" max="10252" width="13.75" style="1" customWidth="1"/>
    <col min="10253" max="10253" width="13.375" style="1" customWidth="1"/>
    <col min="10254" max="10254" width="15.875" style="1" customWidth="1"/>
    <col min="10255" max="10259" width="12.625" style="1" customWidth="1"/>
    <col min="10260" max="10260" width="13.25" style="1" customWidth="1"/>
    <col min="10261" max="10294" width="12.625" style="1" customWidth="1"/>
    <col min="10295" max="10295" width="13.25" style="1" customWidth="1"/>
    <col min="10296" max="10304" width="12.625" style="1" customWidth="1"/>
    <col min="10305" max="10305" width="9" style="1" customWidth="1"/>
    <col min="10306" max="10331" width="12.625" style="1" customWidth="1"/>
    <col min="10332" max="10332" width="16.25" style="1" customWidth="1"/>
    <col min="10333" max="10365" width="12.625" style="1" customWidth="1"/>
    <col min="10366" max="10496" width="9" style="1"/>
    <col min="10497" max="10497" width="5.125" style="1" customWidth="1"/>
    <col min="10498" max="10498" width="54.25" style="1" customWidth="1"/>
    <col min="10499" max="10502" width="16.875" style="1" customWidth="1"/>
    <col min="10503" max="10505" width="14.25" style="1" customWidth="1"/>
    <col min="10506" max="10506" width="12.875" style="1" customWidth="1"/>
    <col min="10507" max="10507" width="13.125" style="1" customWidth="1"/>
    <col min="10508" max="10508" width="13.75" style="1" customWidth="1"/>
    <col min="10509" max="10509" width="13.375" style="1" customWidth="1"/>
    <col min="10510" max="10510" width="15.875" style="1" customWidth="1"/>
    <col min="10511" max="10515" width="12.625" style="1" customWidth="1"/>
    <col min="10516" max="10516" width="13.25" style="1" customWidth="1"/>
    <col min="10517" max="10550" width="12.625" style="1" customWidth="1"/>
    <col min="10551" max="10551" width="13.25" style="1" customWidth="1"/>
    <col min="10552" max="10560" width="12.625" style="1" customWidth="1"/>
    <col min="10561" max="10561" width="9" style="1" customWidth="1"/>
    <col min="10562" max="10587" width="12.625" style="1" customWidth="1"/>
    <col min="10588" max="10588" width="16.25" style="1" customWidth="1"/>
    <col min="10589" max="10621" width="12.625" style="1" customWidth="1"/>
    <col min="10622" max="10752" width="9" style="1"/>
    <col min="10753" max="10753" width="5.125" style="1" customWidth="1"/>
    <col min="10754" max="10754" width="54.25" style="1" customWidth="1"/>
    <col min="10755" max="10758" width="16.875" style="1" customWidth="1"/>
    <col min="10759" max="10761" width="14.25" style="1" customWidth="1"/>
    <col min="10762" max="10762" width="12.875" style="1" customWidth="1"/>
    <col min="10763" max="10763" width="13.125" style="1" customWidth="1"/>
    <col min="10764" max="10764" width="13.75" style="1" customWidth="1"/>
    <col min="10765" max="10765" width="13.375" style="1" customWidth="1"/>
    <col min="10766" max="10766" width="15.875" style="1" customWidth="1"/>
    <col min="10767" max="10771" width="12.625" style="1" customWidth="1"/>
    <col min="10772" max="10772" width="13.25" style="1" customWidth="1"/>
    <col min="10773" max="10806" width="12.625" style="1" customWidth="1"/>
    <col min="10807" max="10807" width="13.25" style="1" customWidth="1"/>
    <col min="10808" max="10816" width="12.625" style="1" customWidth="1"/>
    <col min="10817" max="10817" width="9" style="1" customWidth="1"/>
    <col min="10818" max="10843" width="12.625" style="1" customWidth="1"/>
    <col min="10844" max="10844" width="16.25" style="1" customWidth="1"/>
    <col min="10845" max="10877" width="12.625" style="1" customWidth="1"/>
    <col min="10878" max="11008" width="9" style="1"/>
    <col min="11009" max="11009" width="5.125" style="1" customWidth="1"/>
    <col min="11010" max="11010" width="54.25" style="1" customWidth="1"/>
    <col min="11011" max="11014" width="16.875" style="1" customWidth="1"/>
    <col min="11015" max="11017" width="14.25" style="1" customWidth="1"/>
    <col min="11018" max="11018" width="12.875" style="1" customWidth="1"/>
    <col min="11019" max="11019" width="13.125" style="1" customWidth="1"/>
    <col min="11020" max="11020" width="13.75" style="1" customWidth="1"/>
    <col min="11021" max="11021" width="13.375" style="1" customWidth="1"/>
    <col min="11022" max="11022" width="15.875" style="1" customWidth="1"/>
    <col min="11023" max="11027" width="12.625" style="1" customWidth="1"/>
    <col min="11028" max="11028" width="13.25" style="1" customWidth="1"/>
    <col min="11029" max="11062" width="12.625" style="1" customWidth="1"/>
    <col min="11063" max="11063" width="13.25" style="1" customWidth="1"/>
    <col min="11064" max="11072" width="12.625" style="1" customWidth="1"/>
    <col min="11073" max="11073" width="9" style="1" customWidth="1"/>
    <col min="11074" max="11099" width="12.625" style="1" customWidth="1"/>
    <col min="11100" max="11100" width="16.25" style="1" customWidth="1"/>
    <col min="11101" max="11133" width="12.625" style="1" customWidth="1"/>
    <col min="11134" max="11264" width="9" style="1"/>
    <col min="11265" max="11265" width="5.125" style="1" customWidth="1"/>
    <col min="11266" max="11266" width="54.25" style="1" customWidth="1"/>
    <col min="11267" max="11270" width="16.875" style="1" customWidth="1"/>
    <col min="11271" max="11273" width="14.25" style="1" customWidth="1"/>
    <col min="11274" max="11274" width="12.875" style="1" customWidth="1"/>
    <col min="11275" max="11275" width="13.125" style="1" customWidth="1"/>
    <col min="11276" max="11276" width="13.75" style="1" customWidth="1"/>
    <col min="11277" max="11277" width="13.375" style="1" customWidth="1"/>
    <col min="11278" max="11278" width="15.875" style="1" customWidth="1"/>
    <col min="11279" max="11283" width="12.625" style="1" customWidth="1"/>
    <col min="11284" max="11284" width="13.25" style="1" customWidth="1"/>
    <col min="11285" max="11318" width="12.625" style="1" customWidth="1"/>
    <col min="11319" max="11319" width="13.25" style="1" customWidth="1"/>
    <col min="11320" max="11328" width="12.625" style="1" customWidth="1"/>
    <col min="11329" max="11329" width="9" style="1" customWidth="1"/>
    <col min="11330" max="11355" width="12.625" style="1" customWidth="1"/>
    <col min="11356" max="11356" width="16.25" style="1" customWidth="1"/>
    <col min="11357" max="11389" width="12.625" style="1" customWidth="1"/>
    <col min="11390" max="11520" width="9" style="1"/>
    <col min="11521" max="11521" width="5.125" style="1" customWidth="1"/>
    <col min="11522" max="11522" width="54.25" style="1" customWidth="1"/>
    <col min="11523" max="11526" width="16.875" style="1" customWidth="1"/>
    <col min="11527" max="11529" width="14.25" style="1" customWidth="1"/>
    <col min="11530" max="11530" width="12.875" style="1" customWidth="1"/>
    <col min="11531" max="11531" width="13.125" style="1" customWidth="1"/>
    <col min="11532" max="11532" width="13.75" style="1" customWidth="1"/>
    <col min="11533" max="11533" width="13.375" style="1" customWidth="1"/>
    <col min="11534" max="11534" width="15.875" style="1" customWidth="1"/>
    <col min="11535" max="11539" width="12.625" style="1" customWidth="1"/>
    <col min="11540" max="11540" width="13.25" style="1" customWidth="1"/>
    <col min="11541" max="11574" width="12.625" style="1" customWidth="1"/>
    <col min="11575" max="11575" width="13.25" style="1" customWidth="1"/>
    <col min="11576" max="11584" width="12.625" style="1" customWidth="1"/>
    <col min="11585" max="11585" width="9" style="1" customWidth="1"/>
    <col min="11586" max="11611" width="12.625" style="1" customWidth="1"/>
    <col min="11612" max="11612" width="16.25" style="1" customWidth="1"/>
    <col min="11613" max="11645" width="12.625" style="1" customWidth="1"/>
    <col min="11646" max="11776" width="9" style="1"/>
    <col min="11777" max="11777" width="5.125" style="1" customWidth="1"/>
    <col min="11778" max="11778" width="54.25" style="1" customWidth="1"/>
    <col min="11779" max="11782" width="16.875" style="1" customWidth="1"/>
    <col min="11783" max="11785" width="14.25" style="1" customWidth="1"/>
    <col min="11786" max="11786" width="12.875" style="1" customWidth="1"/>
    <col min="11787" max="11787" width="13.125" style="1" customWidth="1"/>
    <col min="11788" max="11788" width="13.75" style="1" customWidth="1"/>
    <col min="11789" max="11789" width="13.375" style="1" customWidth="1"/>
    <col min="11790" max="11790" width="15.875" style="1" customWidth="1"/>
    <col min="11791" max="11795" width="12.625" style="1" customWidth="1"/>
    <col min="11796" max="11796" width="13.25" style="1" customWidth="1"/>
    <col min="11797" max="11830" width="12.625" style="1" customWidth="1"/>
    <col min="11831" max="11831" width="13.25" style="1" customWidth="1"/>
    <col min="11832" max="11840" width="12.625" style="1" customWidth="1"/>
    <col min="11841" max="11841" width="9" style="1" customWidth="1"/>
    <col min="11842" max="11867" width="12.625" style="1" customWidth="1"/>
    <col min="11868" max="11868" width="16.25" style="1" customWidth="1"/>
    <col min="11869" max="11901" width="12.625" style="1" customWidth="1"/>
    <col min="11902" max="12032" width="9" style="1"/>
    <col min="12033" max="12033" width="5.125" style="1" customWidth="1"/>
    <col min="12034" max="12034" width="54.25" style="1" customWidth="1"/>
    <col min="12035" max="12038" width="16.875" style="1" customWidth="1"/>
    <col min="12039" max="12041" width="14.25" style="1" customWidth="1"/>
    <col min="12042" max="12042" width="12.875" style="1" customWidth="1"/>
    <col min="12043" max="12043" width="13.125" style="1" customWidth="1"/>
    <col min="12044" max="12044" width="13.75" style="1" customWidth="1"/>
    <col min="12045" max="12045" width="13.375" style="1" customWidth="1"/>
    <col min="12046" max="12046" width="15.875" style="1" customWidth="1"/>
    <col min="12047" max="12051" width="12.625" style="1" customWidth="1"/>
    <col min="12052" max="12052" width="13.25" style="1" customWidth="1"/>
    <col min="12053" max="12086" width="12.625" style="1" customWidth="1"/>
    <col min="12087" max="12087" width="13.25" style="1" customWidth="1"/>
    <col min="12088" max="12096" width="12.625" style="1" customWidth="1"/>
    <col min="12097" max="12097" width="9" style="1" customWidth="1"/>
    <col min="12098" max="12123" width="12.625" style="1" customWidth="1"/>
    <col min="12124" max="12124" width="16.25" style="1" customWidth="1"/>
    <col min="12125" max="12157" width="12.625" style="1" customWidth="1"/>
    <col min="12158" max="12288" width="9" style="1"/>
    <col min="12289" max="12289" width="5.125" style="1" customWidth="1"/>
    <col min="12290" max="12290" width="54.25" style="1" customWidth="1"/>
    <col min="12291" max="12294" width="16.875" style="1" customWidth="1"/>
    <col min="12295" max="12297" width="14.25" style="1" customWidth="1"/>
    <col min="12298" max="12298" width="12.875" style="1" customWidth="1"/>
    <col min="12299" max="12299" width="13.125" style="1" customWidth="1"/>
    <col min="12300" max="12300" width="13.75" style="1" customWidth="1"/>
    <col min="12301" max="12301" width="13.375" style="1" customWidth="1"/>
    <col min="12302" max="12302" width="15.875" style="1" customWidth="1"/>
    <col min="12303" max="12307" width="12.625" style="1" customWidth="1"/>
    <col min="12308" max="12308" width="13.25" style="1" customWidth="1"/>
    <col min="12309" max="12342" width="12.625" style="1" customWidth="1"/>
    <col min="12343" max="12343" width="13.25" style="1" customWidth="1"/>
    <col min="12344" max="12352" width="12.625" style="1" customWidth="1"/>
    <col min="12353" max="12353" width="9" style="1" customWidth="1"/>
    <col min="12354" max="12379" width="12.625" style="1" customWidth="1"/>
    <col min="12380" max="12380" width="16.25" style="1" customWidth="1"/>
    <col min="12381" max="12413" width="12.625" style="1" customWidth="1"/>
    <col min="12414" max="12544" width="9" style="1"/>
    <col min="12545" max="12545" width="5.125" style="1" customWidth="1"/>
    <col min="12546" max="12546" width="54.25" style="1" customWidth="1"/>
    <col min="12547" max="12550" width="16.875" style="1" customWidth="1"/>
    <col min="12551" max="12553" width="14.25" style="1" customWidth="1"/>
    <col min="12554" max="12554" width="12.875" style="1" customWidth="1"/>
    <col min="12555" max="12555" width="13.125" style="1" customWidth="1"/>
    <col min="12556" max="12556" width="13.75" style="1" customWidth="1"/>
    <col min="12557" max="12557" width="13.375" style="1" customWidth="1"/>
    <col min="12558" max="12558" width="15.875" style="1" customWidth="1"/>
    <col min="12559" max="12563" width="12.625" style="1" customWidth="1"/>
    <col min="12564" max="12564" width="13.25" style="1" customWidth="1"/>
    <col min="12565" max="12598" width="12.625" style="1" customWidth="1"/>
    <col min="12599" max="12599" width="13.25" style="1" customWidth="1"/>
    <col min="12600" max="12608" width="12.625" style="1" customWidth="1"/>
    <col min="12609" max="12609" width="9" style="1" customWidth="1"/>
    <col min="12610" max="12635" width="12.625" style="1" customWidth="1"/>
    <col min="12636" max="12636" width="16.25" style="1" customWidth="1"/>
    <col min="12637" max="12669" width="12.625" style="1" customWidth="1"/>
    <col min="12670" max="12800" width="9" style="1"/>
    <col min="12801" max="12801" width="5.125" style="1" customWidth="1"/>
    <col min="12802" max="12802" width="54.25" style="1" customWidth="1"/>
    <col min="12803" max="12806" width="16.875" style="1" customWidth="1"/>
    <col min="12807" max="12809" width="14.25" style="1" customWidth="1"/>
    <col min="12810" max="12810" width="12.875" style="1" customWidth="1"/>
    <col min="12811" max="12811" width="13.125" style="1" customWidth="1"/>
    <col min="12812" max="12812" width="13.75" style="1" customWidth="1"/>
    <col min="12813" max="12813" width="13.375" style="1" customWidth="1"/>
    <col min="12814" max="12814" width="15.875" style="1" customWidth="1"/>
    <col min="12815" max="12819" width="12.625" style="1" customWidth="1"/>
    <col min="12820" max="12820" width="13.25" style="1" customWidth="1"/>
    <col min="12821" max="12854" width="12.625" style="1" customWidth="1"/>
    <col min="12855" max="12855" width="13.25" style="1" customWidth="1"/>
    <col min="12856" max="12864" width="12.625" style="1" customWidth="1"/>
    <col min="12865" max="12865" width="9" style="1" customWidth="1"/>
    <col min="12866" max="12891" width="12.625" style="1" customWidth="1"/>
    <col min="12892" max="12892" width="16.25" style="1" customWidth="1"/>
    <col min="12893" max="12925" width="12.625" style="1" customWidth="1"/>
    <col min="12926" max="13056" width="9" style="1"/>
    <col min="13057" max="13057" width="5.125" style="1" customWidth="1"/>
    <col min="13058" max="13058" width="54.25" style="1" customWidth="1"/>
    <col min="13059" max="13062" width="16.875" style="1" customWidth="1"/>
    <col min="13063" max="13065" width="14.25" style="1" customWidth="1"/>
    <col min="13066" max="13066" width="12.875" style="1" customWidth="1"/>
    <col min="13067" max="13067" width="13.125" style="1" customWidth="1"/>
    <col min="13068" max="13068" width="13.75" style="1" customWidth="1"/>
    <col min="13069" max="13069" width="13.375" style="1" customWidth="1"/>
    <col min="13070" max="13070" width="15.875" style="1" customWidth="1"/>
    <col min="13071" max="13075" width="12.625" style="1" customWidth="1"/>
    <col min="13076" max="13076" width="13.25" style="1" customWidth="1"/>
    <col min="13077" max="13110" width="12.625" style="1" customWidth="1"/>
    <col min="13111" max="13111" width="13.25" style="1" customWidth="1"/>
    <col min="13112" max="13120" width="12.625" style="1" customWidth="1"/>
    <col min="13121" max="13121" width="9" style="1" customWidth="1"/>
    <col min="13122" max="13147" width="12.625" style="1" customWidth="1"/>
    <col min="13148" max="13148" width="16.25" style="1" customWidth="1"/>
    <col min="13149" max="13181" width="12.625" style="1" customWidth="1"/>
    <col min="13182" max="13312" width="9" style="1"/>
    <col min="13313" max="13313" width="5.125" style="1" customWidth="1"/>
    <col min="13314" max="13314" width="54.25" style="1" customWidth="1"/>
    <col min="13315" max="13318" width="16.875" style="1" customWidth="1"/>
    <col min="13319" max="13321" width="14.25" style="1" customWidth="1"/>
    <col min="13322" max="13322" width="12.875" style="1" customWidth="1"/>
    <col min="13323" max="13323" width="13.125" style="1" customWidth="1"/>
    <col min="13324" max="13324" width="13.75" style="1" customWidth="1"/>
    <col min="13325" max="13325" width="13.375" style="1" customWidth="1"/>
    <col min="13326" max="13326" width="15.875" style="1" customWidth="1"/>
    <col min="13327" max="13331" width="12.625" style="1" customWidth="1"/>
    <col min="13332" max="13332" width="13.25" style="1" customWidth="1"/>
    <col min="13333" max="13366" width="12.625" style="1" customWidth="1"/>
    <col min="13367" max="13367" width="13.25" style="1" customWidth="1"/>
    <col min="13368" max="13376" width="12.625" style="1" customWidth="1"/>
    <col min="13377" max="13377" width="9" style="1" customWidth="1"/>
    <col min="13378" max="13403" width="12.625" style="1" customWidth="1"/>
    <col min="13404" max="13404" width="16.25" style="1" customWidth="1"/>
    <col min="13405" max="13437" width="12.625" style="1" customWidth="1"/>
    <col min="13438" max="13568" width="9" style="1"/>
    <col min="13569" max="13569" width="5.125" style="1" customWidth="1"/>
    <col min="13570" max="13570" width="54.25" style="1" customWidth="1"/>
    <col min="13571" max="13574" width="16.875" style="1" customWidth="1"/>
    <col min="13575" max="13577" width="14.25" style="1" customWidth="1"/>
    <col min="13578" max="13578" width="12.875" style="1" customWidth="1"/>
    <col min="13579" max="13579" width="13.125" style="1" customWidth="1"/>
    <col min="13580" max="13580" width="13.75" style="1" customWidth="1"/>
    <col min="13581" max="13581" width="13.375" style="1" customWidth="1"/>
    <col min="13582" max="13582" width="15.875" style="1" customWidth="1"/>
    <col min="13583" max="13587" width="12.625" style="1" customWidth="1"/>
    <col min="13588" max="13588" width="13.25" style="1" customWidth="1"/>
    <col min="13589" max="13622" width="12.625" style="1" customWidth="1"/>
    <col min="13623" max="13623" width="13.25" style="1" customWidth="1"/>
    <col min="13624" max="13632" width="12.625" style="1" customWidth="1"/>
    <col min="13633" max="13633" width="9" style="1" customWidth="1"/>
    <col min="13634" max="13659" width="12.625" style="1" customWidth="1"/>
    <col min="13660" max="13660" width="16.25" style="1" customWidth="1"/>
    <col min="13661" max="13693" width="12.625" style="1" customWidth="1"/>
    <col min="13694" max="13824" width="9" style="1"/>
    <col min="13825" max="13825" width="5.125" style="1" customWidth="1"/>
    <col min="13826" max="13826" width="54.25" style="1" customWidth="1"/>
    <col min="13827" max="13830" width="16.875" style="1" customWidth="1"/>
    <col min="13831" max="13833" width="14.25" style="1" customWidth="1"/>
    <col min="13834" max="13834" width="12.875" style="1" customWidth="1"/>
    <col min="13835" max="13835" width="13.125" style="1" customWidth="1"/>
    <col min="13836" max="13836" width="13.75" style="1" customWidth="1"/>
    <col min="13837" max="13837" width="13.375" style="1" customWidth="1"/>
    <col min="13838" max="13838" width="15.875" style="1" customWidth="1"/>
    <col min="13839" max="13843" width="12.625" style="1" customWidth="1"/>
    <col min="13844" max="13844" width="13.25" style="1" customWidth="1"/>
    <col min="13845" max="13878" width="12.625" style="1" customWidth="1"/>
    <col min="13879" max="13879" width="13.25" style="1" customWidth="1"/>
    <col min="13880" max="13888" width="12.625" style="1" customWidth="1"/>
    <col min="13889" max="13889" width="9" style="1" customWidth="1"/>
    <col min="13890" max="13915" width="12.625" style="1" customWidth="1"/>
    <col min="13916" max="13916" width="16.25" style="1" customWidth="1"/>
    <col min="13917" max="13949" width="12.625" style="1" customWidth="1"/>
    <col min="13950" max="14080" width="9" style="1"/>
    <col min="14081" max="14081" width="5.125" style="1" customWidth="1"/>
    <col min="14082" max="14082" width="54.25" style="1" customWidth="1"/>
    <col min="14083" max="14086" width="16.875" style="1" customWidth="1"/>
    <col min="14087" max="14089" width="14.25" style="1" customWidth="1"/>
    <col min="14090" max="14090" width="12.875" style="1" customWidth="1"/>
    <col min="14091" max="14091" width="13.125" style="1" customWidth="1"/>
    <col min="14092" max="14092" width="13.75" style="1" customWidth="1"/>
    <col min="14093" max="14093" width="13.375" style="1" customWidth="1"/>
    <col min="14094" max="14094" width="15.875" style="1" customWidth="1"/>
    <col min="14095" max="14099" width="12.625" style="1" customWidth="1"/>
    <col min="14100" max="14100" width="13.25" style="1" customWidth="1"/>
    <col min="14101" max="14134" width="12.625" style="1" customWidth="1"/>
    <col min="14135" max="14135" width="13.25" style="1" customWidth="1"/>
    <col min="14136" max="14144" width="12.625" style="1" customWidth="1"/>
    <col min="14145" max="14145" width="9" style="1" customWidth="1"/>
    <col min="14146" max="14171" width="12.625" style="1" customWidth="1"/>
    <col min="14172" max="14172" width="16.25" style="1" customWidth="1"/>
    <col min="14173" max="14205" width="12.625" style="1" customWidth="1"/>
    <col min="14206" max="14336" width="9" style="1"/>
    <col min="14337" max="14337" width="5.125" style="1" customWidth="1"/>
    <col min="14338" max="14338" width="54.25" style="1" customWidth="1"/>
    <col min="14339" max="14342" width="16.875" style="1" customWidth="1"/>
    <col min="14343" max="14345" width="14.25" style="1" customWidth="1"/>
    <col min="14346" max="14346" width="12.875" style="1" customWidth="1"/>
    <col min="14347" max="14347" width="13.125" style="1" customWidth="1"/>
    <col min="14348" max="14348" width="13.75" style="1" customWidth="1"/>
    <col min="14349" max="14349" width="13.375" style="1" customWidth="1"/>
    <col min="14350" max="14350" width="15.875" style="1" customWidth="1"/>
    <col min="14351" max="14355" width="12.625" style="1" customWidth="1"/>
    <col min="14356" max="14356" width="13.25" style="1" customWidth="1"/>
    <col min="14357" max="14390" width="12.625" style="1" customWidth="1"/>
    <col min="14391" max="14391" width="13.25" style="1" customWidth="1"/>
    <col min="14392" max="14400" width="12.625" style="1" customWidth="1"/>
    <col min="14401" max="14401" width="9" style="1" customWidth="1"/>
    <col min="14402" max="14427" width="12.625" style="1" customWidth="1"/>
    <col min="14428" max="14428" width="16.25" style="1" customWidth="1"/>
    <col min="14429" max="14461" width="12.625" style="1" customWidth="1"/>
    <col min="14462" max="14592" width="9" style="1"/>
    <col min="14593" max="14593" width="5.125" style="1" customWidth="1"/>
    <col min="14594" max="14594" width="54.25" style="1" customWidth="1"/>
    <col min="14595" max="14598" width="16.875" style="1" customWidth="1"/>
    <col min="14599" max="14601" width="14.25" style="1" customWidth="1"/>
    <col min="14602" max="14602" width="12.875" style="1" customWidth="1"/>
    <col min="14603" max="14603" width="13.125" style="1" customWidth="1"/>
    <col min="14604" max="14604" width="13.75" style="1" customWidth="1"/>
    <col min="14605" max="14605" width="13.375" style="1" customWidth="1"/>
    <col min="14606" max="14606" width="15.875" style="1" customWidth="1"/>
    <col min="14607" max="14611" width="12.625" style="1" customWidth="1"/>
    <col min="14612" max="14612" width="13.25" style="1" customWidth="1"/>
    <col min="14613" max="14646" width="12.625" style="1" customWidth="1"/>
    <col min="14647" max="14647" width="13.25" style="1" customWidth="1"/>
    <col min="14648" max="14656" width="12.625" style="1" customWidth="1"/>
    <col min="14657" max="14657" width="9" style="1" customWidth="1"/>
    <col min="14658" max="14683" width="12.625" style="1" customWidth="1"/>
    <col min="14684" max="14684" width="16.25" style="1" customWidth="1"/>
    <col min="14685" max="14717" width="12.625" style="1" customWidth="1"/>
    <col min="14718" max="14848" width="9" style="1"/>
    <col min="14849" max="14849" width="5.125" style="1" customWidth="1"/>
    <col min="14850" max="14850" width="54.25" style="1" customWidth="1"/>
    <col min="14851" max="14854" width="16.875" style="1" customWidth="1"/>
    <col min="14855" max="14857" width="14.25" style="1" customWidth="1"/>
    <col min="14858" max="14858" width="12.875" style="1" customWidth="1"/>
    <col min="14859" max="14859" width="13.125" style="1" customWidth="1"/>
    <col min="14860" max="14860" width="13.75" style="1" customWidth="1"/>
    <col min="14861" max="14861" width="13.375" style="1" customWidth="1"/>
    <col min="14862" max="14862" width="15.875" style="1" customWidth="1"/>
    <col min="14863" max="14867" width="12.625" style="1" customWidth="1"/>
    <col min="14868" max="14868" width="13.25" style="1" customWidth="1"/>
    <col min="14869" max="14902" width="12.625" style="1" customWidth="1"/>
    <col min="14903" max="14903" width="13.25" style="1" customWidth="1"/>
    <col min="14904" max="14912" width="12.625" style="1" customWidth="1"/>
    <col min="14913" max="14913" width="9" style="1" customWidth="1"/>
    <col min="14914" max="14939" width="12.625" style="1" customWidth="1"/>
    <col min="14940" max="14940" width="16.25" style="1" customWidth="1"/>
    <col min="14941" max="14973" width="12.625" style="1" customWidth="1"/>
    <col min="14974" max="15104" width="9" style="1"/>
    <col min="15105" max="15105" width="5.125" style="1" customWidth="1"/>
    <col min="15106" max="15106" width="54.25" style="1" customWidth="1"/>
    <col min="15107" max="15110" width="16.875" style="1" customWidth="1"/>
    <col min="15111" max="15113" width="14.25" style="1" customWidth="1"/>
    <col min="15114" max="15114" width="12.875" style="1" customWidth="1"/>
    <col min="15115" max="15115" width="13.125" style="1" customWidth="1"/>
    <col min="15116" max="15116" width="13.75" style="1" customWidth="1"/>
    <col min="15117" max="15117" width="13.375" style="1" customWidth="1"/>
    <col min="15118" max="15118" width="15.875" style="1" customWidth="1"/>
    <col min="15119" max="15123" width="12.625" style="1" customWidth="1"/>
    <col min="15124" max="15124" width="13.25" style="1" customWidth="1"/>
    <col min="15125" max="15158" width="12.625" style="1" customWidth="1"/>
    <col min="15159" max="15159" width="13.25" style="1" customWidth="1"/>
    <col min="15160" max="15168" width="12.625" style="1" customWidth="1"/>
    <col min="15169" max="15169" width="9" style="1" customWidth="1"/>
    <col min="15170" max="15195" width="12.625" style="1" customWidth="1"/>
    <col min="15196" max="15196" width="16.25" style="1" customWidth="1"/>
    <col min="15197" max="15229" width="12.625" style="1" customWidth="1"/>
    <col min="15230" max="15360" width="9" style="1"/>
    <col min="15361" max="15361" width="5.125" style="1" customWidth="1"/>
    <col min="15362" max="15362" width="54.25" style="1" customWidth="1"/>
    <col min="15363" max="15366" width="16.875" style="1" customWidth="1"/>
    <col min="15367" max="15369" width="14.25" style="1" customWidth="1"/>
    <col min="15370" max="15370" width="12.875" style="1" customWidth="1"/>
    <col min="15371" max="15371" width="13.125" style="1" customWidth="1"/>
    <col min="15372" max="15372" width="13.75" style="1" customWidth="1"/>
    <col min="15373" max="15373" width="13.375" style="1" customWidth="1"/>
    <col min="15374" max="15374" width="15.875" style="1" customWidth="1"/>
    <col min="15375" max="15379" width="12.625" style="1" customWidth="1"/>
    <col min="15380" max="15380" width="13.25" style="1" customWidth="1"/>
    <col min="15381" max="15414" width="12.625" style="1" customWidth="1"/>
    <col min="15415" max="15415" width="13.25" style="1" customWidth="1"/>
    <col min="15416" max="15424" width="12.625" style="1" customWidth="1"/>
    <col min="15425" max="15425" width="9" style="1" customWidth="1"/>
    <col min="15426" max="15451" width="12.625" style="1" customWidth="1"/>
    <col min="15452" max="15452" width="16.25" style="1" customWidth="1"/>
    <col min="15453" max="15485" width="12.625" style="1" customWidth="1"/>
    <col min="15486" max="15616" width="9" style="1"/>
    <col min="15617" max="15617" width="5.125" style="1" customWidth="1"/>
    <col min="15618" max="15618" width="54.25" style="1" customWidth="1"/>
    <col min="15619" max="15622" width="16.875" style="1" customWidth="1"/>
    <col min="15623" max="15625" width="14.25" style="1" customWidth="1"/>
    <col min="15626" max="15626" width="12.875" style="1" customWidth="1"/>
    <col min="15627" max="15627" width="13.125" style="1" customWidth="1"/>
    <col min="15628" max="15628" width="13.75" style="1" customWidth="1"/>
    <col min="15629" max="15629" width="13.375" style="1" customWidth="1"/>
    <col min="15630" max="15630" width="15.875" style="1" customWidth="1"/>
    <col min="15631" max="15635" width="12.625" style="1" customWidth="1"/>
    <col min="15636" max="15636" width="13.25" style="1" customWidth="1"/>
    <col min="15637" max="15670" width="12.625" style="1" customWidth="1"/>
    <col min="15671" max="15671" width="13.25" style="1" customWidth="1"/>
    <col min="15672" max="15680" width="12.625" style="1" customWidth="1"/>
    <col min="15681" max="15681" width="9" style="1" customWidth="1"/>
    <col min="15682" max="15707" width="12.625" style="1" customWidth="1"/>
    <col min="15708" max="15708" width="16.25" style="1" customWidth="1"/>
    <col min="15709" max="15741" width="12.625" style="1" customWidth="1"/>
    <col min="15742" max="15872" width="9" style="1"/>
    <col min="15873" max="15873" width="5.125" style="1" customWidth="1"/>
    <col min="15874" max="15874" width="54.25" style="1" customWidth="1"/>
    <col min="15875" max="15878" width="16.875" style="1" customWidth="1"/>
    <col min="15879" max="15881" width="14.25" style="1" customWidth="1"/>
    <col min="15882" max="15882" width="12.875" style="1" customWidth="1"/>
    <col min="15883" max="15883" width="13.125" style="1" customWidth="1"/>
    <col min="15884" max="15884" width="13.75" style="1" customWidth="1"/>
    <col min="15885" max="15885" width="13.375" style="1" customWidth="1"/>
    <col min="15886" max="15886" width="15.875" style="1" customWidth="1"/>
    <col min="15887" max="15891" width="12.625" style="1" customWidth="1"/>
    <col min="15892" max="15892" width="13.25" style="1" customWidth="1"/>
    <col min="15893" max="15926" width="12.625" style="1" customWidth="1"/>
    <col min="15927" max="15927" width="13.25" style="1" customWidth="1"/>
    <col min="15928" max="15936" width="12.625" style="1" customWidth="1"/>
    <col min="15937" max="15937" width="9" style="1" customWidth="1"/>
    <col min="15938" max="15963" width="12.625" style="1" customWidth="1"/>
    <col min="15964" max="15964" width="16.25" style="1" customWidth="1"/>
    <col min="15965" max="15997" width="12.625" style="1" customWidth="1"/>
    <col min="15998" max="16128" width="9" style="1"/>
    <col min="16129" max="16129" width="5.125" style="1" customWidth="1"/>
    <col min="16130" max="16130" width="54.25" style="1" customWidth="1"/>
    <col min="16131" max="16134" width="16.875" style="1" customWidth="1"/>
    <col min="16135" max="16137" width="14.25" style="1" customWidth="1"/>
    <col min="16138" max="16138" width="12.875" style="1" customWidth="1"/>
    <col min="16139" max="16139" width="13.125" style="1" customWidth="1"/>
    <col min="16140" max="16140" width="13.75" style="1" customWidth="1"/>
    <col min="16141" max="16141" width="13.375" style="1" customWidth="1"/>
    <col min="16142" max="16142" width="15.875" style="1" customWidth="1"/>
    <col min="16143" max="16147" width="12.625" style="1" customWidth="1"/>
    <col min="16148" max="16148" width="13.25" style="1" customWidth="1"/>
    <col min="16149" max="16182" width="12.625" style="1" customWidth="1"/>
    <col min="16183" max="16183" width="13.25" style="1" customWidth="1"/>
    <col min="16184" max="16192" width="12.625" style="1" customWidth="1"/>
    <col min="16193" max="16193" width="9" style="1" customWidth="1"/>
    <col min="16194" max="16219" width="12.625" style="1" customWidth="1"/>
    <col min="16220" max="16220" width="16.25" style="1" customWidth="1"/>
    <col min="16221" max="16253" width="12.625" style="1" customWidth="1"/>
    <col min="16254" max="16384" width="9" style="1"/>
  </cols>
  <sheetData>
    <row r="1" spans="1:6" s="6" customFormat="1" x14ac:dyDescent="0.25">
      <c r="A1" s="5"/>
      <c r="F1" s="7"/>
    </row>
    <row r="2" spans="1:6" s="6" customFormat="1" x14ac:dyDescent="0.25">
      <c r="A2" s="5"/>
      <c r="F2" s="7" t="s">
        <v>115</v>
      </c>
    </row>
    <row r="3" spans="1:6" s="6" customFormat="1" x14ac:dyDescent="0.25">
      <c r="A3" s="5"/>
      <c r="F3" s="7" t="s">
        <v>0</v>
      </c>
    </row>
    <row r="4" spans="1:6" s="6" customFormat="1" x14ac:dyDescent="0.25">
      <c r="A4" s="5"/>
      <c r="F4" s="8"/>
    </row>
    <row r="5" spans="1:6" s="6" customFormat="1" x14ac:dyDescent="0.25">
      <c r="A5" s="5"/>
      <c r="F5" s="7"/>
    </row>
    <row r="6" spans="1:6" s="6" customFormat="1" ht="31.5" customHeight="1" x14ac:dyDescent="0.25">
      <c r="A6" s="129" t="s">
        <v>253</v>
      </c>
      <c r="B6" s="130"/>
      <c r="C6" s="130"/>
      <c r="D6" s="130"/>
      <c r="E6" s="130"/>
      <c r="F6" s="130"/>
    </row>
    <row r="7" spans="1:6" s="6" customFormat="1" x14ac:dyDescent="0.25">
      <c r="A7" s="5"/>
      <c r="F7" s="7" t="s">
        <v>2</v>
      </c>
    </row>
    <row r="8" spans="1:6" s="6" customFormat="1" ht="23.25" customHeight="1" x14ac:dyDescent="0.25">
      <c r="A8" s="5"/>
      <c r="F8" s="8" t="s">
        <v>29</v>
      </c>
    </row>
    <row r="9" spans="1:6" s="6" customFormat="1" x14ac:dyDescent="0.25">
      <c r="A9" s="5"/>
      <c r="F9" s="7" t="s">
        <v>248</v>
      </c>
    </row>
    <row r="10" spans="1:6" s="6" customFormat="1" ht="16.5" customHeight="1" x14ac:dyDescent="0.25">
      <c r="A10" s="5"/>
    </row>
    <row r="11" spans="1:6" s="6" customFormat="1" x14ac:dyDescent="0.25">
      <c r="A11" s="5"/>
      <c r="F11" s="7" t="s">
        <v>3</v>
      </c>
    </row>
    <row r="12" spans="1:6" s="6" customFormat="1" x14ac:dyDescent="0.25">
      <c r="A12" s="5"/>
      <c r="F12" s="7" t="s">
        <v>4</v>
      </c>
    </row>
    <row r="13" spans="1:6" x14ac:dyDescent="0.25">
      <c r="A13" s="9"/>
      <c r="B13" s="9"/>
      <c r="C13" s="9"/>
      <c r="D13" s="9"/>
      <c r="E13" s="10"/>
      <c r="F13" s="10"/>
    </row>
    <row r="14" spans="1:6" ht="21.75" customHeight="1" x14ac:dyDescent="0.25">
      <c r="A14" s="131" t="s">
        <v>22</v>
      </c>
      <c r="B14" s="132" t="s">
        <v>23</v>
      </c>
      <c r="C14" s="133" t="s">
        <v>24</v>
      </c>
      <c r="D14" s="133"/>
      <c r="E14" s="133" t="s">
        <v>25</v>
      </c>
      <c r="F14" s="133"/>
    </row>
    <row r="15" spans="1:6" ht="18" customHeight="1" x14ac:dyDescent="0.25">
      <c r="A15" s="131"/>
      <c r="B15" s="132"/>
      <c r="C15" s="11" t="s">
        <v>21</v>
      </c>
      <c r="D15" s="11" t="s">
        <v>26</v>
      </c>
      <c r="E15" s="11" t="s">
        <v>21</v>
      </c>
      <c r="F15" s="11" t="s">
        <v>26</v>
      </c>
    </row>
    <row r="16" spans="1:6" ht="38.25" customHeight="1" x14ac:dyDescent="0.25">
      <c r="A16" s="131"/>
      <c r="B16" s="132"/>
      <c r="C16" s="11" t="s">
        <v>27</v>
      </c>
      <c r="D16" s="11" t="s">
        <v>27</v>
      </c>
      <c r="E16" s="11" t="s">
        <v>27</v>
      </c>
      <c r="F16" s="11" t="s">
        <v>27</v>
      </c>
    </row>
    <row r="17" spans="1:6" ht="19.5" customHeight="1" x14ac:dyDescent="0.25">
      <c r="A17" s="131"/>
      <c r="B17" s="132"/>
      <c r="C17" s="12" t="s">
        <v>254</v>
      </c>
      <c r="D17" s="12" t="s">
        <v>254</v>
      </c>
      <c r="E17" s="12" t="s">
        <v>254</v>
      </c>
      <c r="F17" s="12" t="s">
        <v>254</v>
      </c>
    </row>
    <row r="18" spans="1:6" x14ac:dyDescent="0.25">
      <c r="A18" s="13"/>
      <c r="B18" s="13">
        <v>2</v>
      </c>
      <c r="C18" s="13">
        <v>3</v>
      </c>
      <c r="D18" s="13">
        <v>4</v>
      </c>
      <c r="E18" s="13">
        <v>5</v>
      </c>
      <c r="F18" s="13">
        <v>6</v>
      </c>
    </row>
    <row r="19" spans="1:6" ht="31.5" x14ac:dyDescent="0.25">
      <c r="A19" s="24" t="s">
        <v>28</v>
      </c>
      <c r="B19" s="19" t="s">
        <v>34</v>
      </c>
      <c r="C19" s="17">
        <f>C27</f>
        <v>13.35</v>
      </c>
      <c r="D19" s="17">
        <f>D27</f>
        <v>0</v>
      </c>
      <c r="E19" s="17">
        <f t="shared" ref="E19:F19" si="0">E27</f>
        <v>0</v>
      </c>
      <c r="F19" s="17">
        <f t="shared" si="0"/>
        <v>0</v>
      </c>
    </row>
    <row r="20" spans="1:6" hidden="1" x14ac:dyDescent="0.25">
      <c r="A20" s="24" t="s">
        <v>72</v>
      </c>
      <c r="B20" s="20" t="s">
        <v>35</v>
      </c>
      <c r="C20" s="15"/>
      <c r="D20" s="15"/>
      <c r="E20" s="15"/>
      <c r="F20" s="15"/>
    </row>
    <row r="21" spans="1:6" hidden="1" x14ac:dyDescent="0.25">
      <c r="A21" s="24" t="s">
        <v>73</v>
      </c>
      <c r="B21" s="20" t="s">
        <v>36</v>
      </c>
      <c r="C21" s="15"/>
      <c r="D21" s="15"/>
      <c r="E21" s="15"/>
      <c r="F21" s="15"/>
    </row>
    <row r="22" spans="1:6" hidden="1" x14ac:dyDescent="0.25">
      <c r="A22" s="24" t="s">
        <v>74</v>
      </c>
      <c r="B22" s="19" t="s">
        <v>37</v>
      </c>
      <c r="C22" s="15"/>
      <c r="D22" s="15"/>
      <c r="E22" s="15"/>
      <c r="F22" s="15"/>
    </row>
    <row r="23" spans="1:6" ht="31.5" hidden="1" x14ac:dyDescent="0.25">
      <c r="A23" s="24" t="s">
        <v>75</v>
      </c>
      <c r="B23" s="20" t="s">
        <v>38</v>
      </c>
      <c r="C23" s="15"/>
      <c r="D23" s="15"/>
      <c r="E23" s="15"/>
      <c r="F23" s="15"/>
    </row>
    <row r="24" spans="1:6" x14ac:dyDescent="0.25">
      <c r="A24" s="24" t="s">
        <v>76</v>
      </c>
      <c r="B24" s="19" t="s">
        <v>39</v>
      </c>
      <c r="C24" s="15">
        <f>C27</f>
        <v>13.35</v>
      </c>
      <c r="D24" s="15">
        <f>D27</f>
        <v>0</v>
      </c>
      <c r="E24" s="15">
        <f t="shared" ref="E24:F24" si="1">E27</f>
        <v>0</v>
      </c>
      <c r="F24" s="15">
        <f t="shared" si="1"/>
        <v>0</v>
      </c>
    </row>
    <row r="25" spans="1:6" ht="31.5" hidden="1" x14ac:dyDescent="0.25">
      <c r="A25" s="24" t="s">
        <v>77</v>
      </c>
      <c r="B25" s="20" t="s">
        <v>40</v>
      </c>
      <c r="C25" s="14"/>
      <c r="D25" s="14"/>
      <c r="E25" s="14"/>
      <c r="F25" s="14"/>
    </row>
    <row r="26" spans="1:6" x14ac:dyDescent="0.25">
      <c r="A26" s="24" t="s">
        <v>78</v>
      </c>
      <c r="B26" s="19" t="s">
        <v>41</v>
      </c>
      <c r="C26" s="15">
        <f>C75</f>
        <v>0</v>
      </c>
      <c r="D26" s="15">
        <f>D75</f>
        <v>0</v>
      </c>
      <c r="E26" s="15">
        <f t="shared" ref="E26:F26" si="2">E75</f>
        <v>0</v>
      </c>
      <c r="F26" s="15">
        <f t="shared" si="2"/>
        <v>0</v>
      </c>
    </row>
    <row r="27" spans="1:6" x14ac:dyDescent="0.25">
      <c r="A27" s="24" t="s">
        <v>33</v>
      </c>
      <c r="B27" s="19" t="s">
        <v>42</v>
      </c>
      <c r="C27" s="14">
        <f>C66+C43+C75</f>
        <v>13.35</v>
      </c>
      <c r="D27" s="14">
        <f>D66+D43+D75</f>
        <v>0</v>
      </c>
      <c r="E27" s="14">
        <f>E66+E43+E75</f>
        <v>0</v>
      </c>
      <c r="F27" s="14">
        <f>F66+F43+F75</f>
        <v>0</v>
      </c>
    </row>
    <row r="28" spans="1:6" ht="31.5" hidden="1" x14ac:dyDescent="0.25">
      <c r="A28" s="24" t="s">
        <v>20</v>
      </c>
      <c r="B28" s="19" t="s">
        <v>43</v>
      </c>
      <c r="C28" s="14"/>
      <c r="D28" s="14"/>
      <c r="E28" s="14"/>
      <c r="F28" s="14"/>
    </row>
    <row r="29" spans="1:6" ht="63" hidden="1" x14ac:dyDescent="0.25">
      <c r="A29" s="24" t="s">
        <v>79</v>
      </c>
      <c r="B29" s="19" t="s">
        <v>44</v>
      </c>
      <c r="C29" s="14"/>
      <c r="D29" s="14"/>
      <c r="E29" s="14"/>
      <c r="F29" s="14"/>
    </row>
    <row r="30" spans="1:6" ht="41.25" hidden="1" customHeight="1" x14ac:dyDescent="0.25">
      <c r="A30" s="24" t="s">
        <v>80</v>
      </c>
      <c r="B30" s="19" t="s">
        <v>45</v>
      </c>
      <c r="C30" s="14"/>
      <c r="D30" s="14"/>
      <c r="E30" s="14"/>
      <c r="F30" s="14"/>
    </row>
    <row r="31" spans="1:6" ht="50.25" hidden="1" customHeight="1" x14ac:dyDescent="0.25">
      <c r="A31" s="24" t="s">
        <v>81</v>
      </c>
      <c r="B31" s="19" t="s">
        <v>46</v>
      </c>
      <c r="C31" s="14"/>
      <c r="D31" s="14"/>
      <c r="E31" s="14"/>
      <c r="F31" s="14"/>
    </row>
    <row r="32" spans="1:6" ht="75.599999999999994" hidden="1" customHeight="1" x14ac:dyDescent="0.25">
      <c r="A32" s="24" t="s">
        <v>82</v>
      </c>
      <c r="B32" s="19" t="s">
        <v>47</v>
      </c>
      <c r="C32" s="14"/>
      <c r="D32" s="14"/>
      <c r="E32" s="14"/>
      <c r="F32" s="14"/>
    </row>
    <row r="33" spans="1:6" ht="75.599999999999994" hidden="1" customHeight="1" x14ac:dyDescent="0.25">
      <c r="A33" s="24" t="s">
        <v>83</v>
      </c>
      <c r="B33" s="19" t="s">
        <v>48</v>
      </c>
      <c r="C33" s="14"/>
      <c r="D33" s="14"/>
      <c r="E33" s="14"/>
      <c r="F33" s="14"/>
    </row>
    <row r="34" spans="1:6" ht="75.599999999999994" hidden="1" customHeight="1" x14ac:dyDescent="0.25">
      <c r="A34" s="24" t="s">
        <v>84</v>
      </c>
      <c r="B34" s="19" t="s">
        <v>49</v>
      </c>
      <c r="C34" s="14"/>
      <c r="D34" s="14"/>
      <c r="E34" s="14"/>
      <c r="F34" s="14"/>
    </row>
    <row r="35" spans="1:6" ht="75.599999999999994" hidden="1" customHeight="1" x14ac:dyDescent="0.25">
      <c r="A35" s="24" t="s">
        <v>85</v>
      </c>
      <c r="B35" s="19" t="s">
        <v>50</v>
      </c>
      <c r="C35" s="14"/>
      <c r="D35" s="14"/>
      <c r="E35" s="14"/>
      <c r="F35" s="14"/>
    </row>
    <row r="36" spans="1:6" ht="90" hidden="1" customHeight="1" x14ac:dyDescent="0.25">
      <c r="A36" s="24" t="s">
        <v>86</v>
      </c>
      <c r="B36" s="19" t="s">
        <v>51</v>
      </c>
      <c r="C36" s="14"/>
      <c r="D36" s="14"/>
      <c r="E36" s="14"/>
      <c r="F36" s="14"/>
    </row>
    <row r="37" spans="1:6" ht="37.15" hidden="1" customHeight="1" x14ac:dyDescent="0.25">
      <c r="A37" s="24" t="s">
        <v>87</v>
      </c>
      <c r="B37" s="19" t="s">
        <v>52</v>
      </c>
      <c r="C37" s="15"/>
      <c r="D37" s="15"/>
      <c r="E37" s="15"/>
      <c r="F37" s="15"/>
    </row>
    <row r="38" spans="1:6" ht="59.45" hidden="1" customHeight="1" x14ac:dyDescent="0.25">
      <c r="A38" s="24" t="s">
        <v>88</v>
      </c>
      <c r="B38" s="19" t="s">
        <v>53</v>
      </c>
      <c r="C38" s="14"/>
      <c r="D38" s="14"/>
      <c r="E38" s="14"/>
      <c r="F38" s="14"/>
    </row>
    <row r="39" spans="1:6" ht="33.75" hidden="1" customHeight="1" x14ac:dyDescent="0.25">
      <c r="A39" s="24" t="s">
        <v>89</v>
      </c>
      <c r="B39" s="19" t="s">
        <v>54</v>
      </c>
      <c r="C39" s="14"/>
      <c r="D39" s="14"/>
      <c r="E39" s="14"/>
      <c r="F39" s="14"/>
    </row>
    <row r="40" spans="1:6" ht="22.9" hidden="1" customHeight="1" x14ac:dyDescent="0.25">
      <c r="A40" s="24" t="s">
        <v>90</v>
      </c>
      <c r="B40" s="19" t="s">
        <v>55</v>
      </c>
      <c r="C40" s="15"/>
      <c r="D40" s="15"/>
      <c r="E40" s="15"/>
      <c r="F40" s="15"/>
    </row>
    <row r="41" spans="1:6" ht="22.9" hidden="1" customHeight="1" x14ac:dyDescent="0.25">
      <c r="A41" s="24" t="s">
        <v>91</v>
      </c>
      <c r="B41" s="19" t="s">
        <v>56</v>
      </c>
      <c r="C41" s="14"/>
      <c r="D41" s="14"/>
      <c r="E41" s="14"/>
      <c r="F41" s="14"/>
    </row>
    <row r="42" spans="1:6" ht="34.5" hidden="1" customHeight="1" x14ac:dyDescent="0.25">
      <c r="A42" s="24" t="s">
        <v>92</v>
      </c>
      <c r="B42" s="19" t="s">
        <v>57</v>
      </c>
      <c r="C42" s="14"/>
      <c r="D42" s="14"/>
      <c r="E42" s="14"/>
      <c r="F42" s="14"/>
    </row>
    <row r="43" spans="1:6" ht="15.75" customHeight="1" x14ac:dyDescent="0.25">
      <c r="A43" s="24" t="s">
        <v>93</v>
      </c>
      <c r="B43" s="19" t="s">
        <v>58</v>
      </c>
      <c r="C43" s="14">
        <f>C44</f>
        <v>1.35</v>
      </c>
      <c r="D43" s="14">
        <f>D44</f>
        <v>0</v>
      </c>
      <c r="E43" s="14">
        <f t="shared" ref="E43:F43" si="3">E44</f>
        <v>0</v>
      </c>
      <c r="F43" s="14">
        <f t="shared" si="3"/>
        <v>0</v>
      </c>
    </row>
    <row r="44" spans="1:6" ht="15.75" customHeight="1" x14ac:dyDescent="0.25">
      <c r="A44" s="24" t="s">
        <v>94</v>
      </c>
      <c r="B44" s="19" t="s">
        <v>32</v>
      </c>
      <c r="C44" s="15">
        <f>SUM(C45:C55)</f>
        <v>1.35</v>
      </c>
      <c r="D44" s="15">
        <f t="shared" ref="D44:F44" si="4">SUM(D45:D55)</f>
        <v>0</v>
      </c>
      <c r="E44" s="15">
        <f t="shared" si="4"/>
        <v>0</v>
      </c>
      <c r="F44" s="15">
        <f t="shared" si="4"/>
        <v>0</v>
      </c>
    </row>
    <row r="45" spans="1:6" ht="45.6" customHeight="1" x14ac:dyDescent="0.25">
      <c r="A45" s="36" t="s">
        <v>160</v>
      </c>
      <c r="B45" s="31" t="s">
        <v>149</v>
      </c>
      <c r="C45" s="3">
        <v>0</v>
      </c>
      <c r="D45" s="3"/>
      <c r="E45" s="16"/>
      <c r="F45" s="16"/>
    </row>
    <row r="46" spans="1:6" ht="31.5" x14ac:dyDescent="0.25">
      <c r="A46" s="36" t="s">
        <v>161</v>
      </c>
      <c r="B46" s="34" t="s">
        <v>151</v>
      </c>
      <c r="C46" s="3">
        <v>0</v>
      </c>
      <c r="D46" s="3"/>
      <c r="E46" s="16"/>
      <c r="F46" s="16"/>
    </row>
    <row r="47" spans="1:6" ht="31.5" x14ac:dyDescent="0.25">
      <c r="A47" s="36" t="s">
        <v>162</v>
      </c>
      <c r="B47" s="34" t="s">
        <v>118</v>
      </c>
      <c r="C47" s="3">
        <v>0</v>
      </c>
      <c r="D47" s="3"/>
      <c r="E47" s="16"/>
      <c r="F47" s="16"/>
    </row>
    <row r="48" spans="1:6" ht="31.5" x14ac:dyDescent="0.25">
      <c r="A48" s="36" t="s">
        <v>163</v>
      </c>
      <c r="B48" s="34" t="s">
        <v>129</v>
      </c>
      <c r="C48" s="3">
        <v>0</v>
      </c>
      <c r="D48" s="3"/>
      <c r="E48" s="16"/>
      <c r="F48" s="16"/>
    </row>
    <row r="49" spans="1:6" ht="47.25" x14ac:dyDescent="0.25">
      <c r="A49" s="36" t="s">
        <v>164</v>
      </c>
      <c r="B49" s="34" t="s">
        <v>182</v>
      </c>
      <c r="C49" s="3">
        <v>0</v>
      </c>
      <c r="D49" s="3"/>
      <c r="E49" s="16"/>
      <c r="F49" s="16"/>
    </row>
    <row r="50" spans="1:6" ht="31.5" x14ac:dyDescent="0.25">
      <c r="A50" s="36" t="s">
        <v>165</v>
      </c>
      <c r="B50" s="31" t="s">
        <v>153</v>
      </c>
      <c r="C50" s="3">
        <v>0</v>
      </c>
      <c r="D50" s="3"/>
      <c r="E50" s="16"/>
      <c r="F50" s="16"/>
    </row>
    <row r="51" spans="1:6" x14ac:dyDescent="0.25">
      <c r="A51" s="36" t="s">
        <v>166</v>
      </c>
      <c r="B51" s="31" t="s">
        <v>155</v>
      </c>
      <c r="C51" s="3">
        <v>0</v>
      </c>
      <c r="D51" s="3"/>
      <c r="E51" s="16"/>
      <c r="F51" s="16"/>
    </row>
    <row r="52" spans="1:6" ht="31.5" x14ac:dyDescent="0.25">
      <c r="A52" s="36" t="s">
        <v>167</v>
      </c>
      <c r="B52" s="31" t="s">
        <v>156</v>
      </c>
      <c r="C52" s="3">
        <v>0</v>
      </c>
      <c r="D52" s="3"/>
      <c r="E52" s="16"/>
      <c r="F52" s="16"/>
    </row>
    <row r="53" spans="1:6" ht="31.5" x14ac:dyDescent="0.25">
      <c r="A53" s="36" t="s">
        <v>168</v>
      </c>
      <c r="B53" s="31" t="s">
        <v>158</v>
      </c>
      <c r="C53" s="3">
        <v>0</v>
      </c>
      <c r="D53" s="3"/>
      <c r="E53" s="16"/>
      <c r="F53" s="16"/>
    </row>
    <row r="54" spans="1:6" ht="31.5" x14ac:dyDescent="0.25">
      <c r="A54" s="36" t="s">
        <v>169</v>
      </c>
      <c r="B54" s="31" t="s">
        <v>201</v>
      </c>
      <c r="C54" s="3">
        <v>1.35</v>
      </c>
      <c r="D54" s="3"/>
      <c r="E54" s="16"/>
      <c r="F54" s="16"/>
    </row>
    <row r="55" spans="1:6" ht="31.5" x14ac:dyDescent="0.25">
      <c r="A55" s="36" t="s">
        <v>203</v>
      </c>
      <c r="B55" s="31" t="s">
        <v>204</v>
      </c>
      <c r="C55" s="3">
        <v>0</v>
      </c>
      <c r="D55" s="3"/>
      <c r="E55" s="16"/>
      <c r="F55" s="16"/>
    </row>
    <row r="56" spans="1:6" ht="31.5" x14ac:dyDescent="0.25">
      <c r="A56" s="24" t="s">
        <v>95</v>
      </c>
      <c r="B56" s="19" t="s">
        <v>59</v>
      </c>
      <c r="C56" s="2"/>
      <c r="D56" s="2"/>
      <c r="E56" s="16"/>
      <c r="F56" s="16"/>
    </row>
    <row r="57" spans="1:6" ht="31.5" x14ac:dyDescent="0.25">
      <c r="A57" s="24" t="s">
        <v>96</v>
      </c>
      <c r="B57" s="19" t="s">
        <v>60</v>
      </c>
      <c r="C57" s="3"/>
      <c r="D57" s="3"/>
      <c r="E57" s="16"/>
      <c r="F57" s="16"/>
    </row>
    <row r="58" spans="1:6" ht="31.5" x14ac:dyDescent="0.25">
      <c r="A58" s="24" t="s">
        <v>97</v>
      </c>
      <c r="B58" s="19" t="s">
        <v>61</v>
      </c>
      <c r="C58" s="4"/>
      <c r="D58" s="4">
        <v>0</v>
      </c>
      <c r="E58" s="16"/>
      <c r="F58" s="16"/>
    </row>
    <row r="59" spans="1:6" x14ac:dyDescent="0.25">
      <c r="A59" s="25" t="s">
        <v>114</v>
      </c>
      <c r="B59" s="34" t="s">
        <v>121</v>
      </c>
      <c r="C59" s="2"/>
      <c r="D59" s="2"/>
      <c r="E59" s="16"/>
      <c r="F59" s="16"/>
    </row>
    <row r="60" spans="1:6" ht="31.5" x14ac:dyDescent="0.25">
      <c r="A60" s="24" t="s">
        <v>98</v>
      </c>
      <c r="B60" s="20" t="s">
        <v>62</v>
      </c>
      <c r="C60" s="3"/>
      <c r="D60" s="3"/>
      <c r="E60" s="16"/>
      <c r="F60" s="16"/>
    </row>
    <row r="61" spans="1:6" ht="47.25" x14ac:dyDescent="0.25">
      <c r="A61" s="26" t="s">
        <v>99</v>
      </c>
      <c r="B61" s="19" t="s">
        <v>63</v>
      </c>
      <c r="C61" s="3"/>
      <c r="D61" s="3"/>
      <c r="E61" s="16"/>
      <c r="F61" s="16"/>
    </row>
    <row r="62" spans="1:6" ht="33.75" customHeight="1" x14ac:dyDescent="0.25">
      <c r="A62" s="26" t="s">
        <v>100</v>
      </c>
      <c r="B62" s="19" t="s">
        <v>64</v>
      </c>
      <c r="C62" s="2"/>
      <c r="D62" s="2"/>
      <c r="E62" s="16"/>
      <c r="F62" s="16"/>
    </row>
    <row r="63" spans="1:6" x14ac:dyDescent="0.25">
      <c r="A63" s="27" t="s">
        <v>101</v>
      </c>
      <c r="B63" s="19" t="s">
        <v>65</v>
      </c>
      <c r="C63" s="3"/>
      <c r="D63" s="3"/>
      <c r="E63" s="16"/>
      <c r="F63" s="16"/>
    </row>
    <row r="64" spans="1:6" ht="47.25" x14ac:dyDescent="0.25">
      <c r="A64" s="26" t="s">
        <v>102</v>
      </c>
      <c r="B64" s="19" t="s">
        <v>63</v>
      </c>
      <c r="C64" s="3"/>
      <c r="D64" s="3"/>
      <c r="E64" s="16"/>
      <c r="F64" s="16"/>
    </row>
    <row r="65" spans="1:6" ht="31.5" x14ac:dyDescent="0.25">
      <c r="A65" s="28" t="s">
        <v>103</v>
      </c>
      <c r="B65" s="21" t="s">
        <v>64</v>
      </c>
      <c r="C65" s="3"/>
      <c r="D65" s="3"/>
      <c r="E65" s="16"/>
      <c r="F65" s="16"/>
    </row>
    <row r="66" spans="1:6" x14ac:dyDescent="0.25">
      <c r="A66" s="24" t="s">
        <v>104</v>
      </c>
      <c r="B66" s="19" t="s">
        <v>66</v>
      </c>
      <c r="C66" s="33">
        <f>C67</f>
        <v>12</v>
      </c>
      <c r="D66" s="33">
        <f t="shared" ref="D66:F66" si="5">D67</f>
        <v>0</v>
      </c>
      <c r="E66" s="33">
        <f t="shared" si="5"/>
        <v>0</v>
      </c>
      <c r="F66" s="33">
        <f t="shared" si="5"/>
        <v>0</v>
      </c>
    </row>
    <row r="67" spans="1:6" ht="31.5" x14ac:dyDescent="0.25">
      <c r="A67" s="29" t="s">
        <v>105</v>
      </c>
      <c r="B67" s="22" t="s">
        <v>31</v>
      </c>
      <c r="C67" s="3">
        <f>C68+C69</f>
        <v>12</v>
      </c>
      <c r="D67" s="3">
        <f>D68+D69</f>
        <v>0</v>
      </c>
      <c r="E67" s="3">
        <f>E68+E69</f>
        <v>0</v>
      </c>
      <c r="F67" s="3">
        <f>F68+F69</f>
        <v>0</v>
      </c>
    </row>
    <row r="68" spans="1:6" ht="31.5" x14ac:dyDescent="0.25">
      <c r="A68" s="25" t="s">
        <v>106</v>
      </c>
      <c r="B68" s="34" t="s">
        <v>206</v>
      </c>
      <c r="C68" s="3">
        <v>0</v>
      </c>
      <c r="D68" s="2">
        <v>0</v>
      </c>
      <c r="E68" s="16">
        <v>0</v>
      </c>
      <c r="F68" s="16">
        <v>0</v>
      </c>
    </row>
    <row r="69" spans="1:6" ht="30" customHeight="1" x14ac:dyDescent="0.25">
      <c r="A69" s="25" t="s">
        <v>112</v>
      </c>
      <c r="B69" s="34" t="s">
        <v>207</v>
      </c>
      <c r="C69" s="16">
        <v>12</v>
      </c>
      <c r="D69" s="3">
        <v>0</v>
      </c>
      <c r="E69" s="16">
        <v>0</v>
      </c>
      <c r="F69" s="16">
        <v>0</v>
      </c>
    </row>
    <row r="70" spans="1:6" x14ac:dyDescent="0.25">
      <c r="A70" s="24" t="s">
        <v>107</v>
      </c>
      <c r="B70" s="19" t="s">
        <v>67</v>
      </c>
      <c r="C70" s="32"/>
      <c r="D70" s="32"/>
      <c r="E70" s="32"/>
      <c r="F70" s="32"/>
    </row>
    <row r="71" spans="1:6" x14ac:dyDescent="0.25">
      <c r="A71" s="24" t="s">
        <v>108</v>
      </c>
      <c r="B71" s="19" t="s">
        <v>68</v>
      </c>
      <c r="C71" s="32"/>
      <c r="D71" s="32"/>
      <c r="E71" s="32"/>
      <c r="F71" s="32"/>
    </row>
    <row r="72" spans="1:6" x14ac:dyDescent="0.25">
      <c r="A72" s="24" t="s">
        <v>109</v>
      </c>
      <c r="B72" s="19" t="s">
        <v>69</v>
      </c>
      <c r="C72" s="35">
        <f>C73</f>
        <v>0</v>
      </c>
      <c r="D72" s="35">
        <f t="shared" ref="D72:F72" si="6">D73</f>
        <v>0</v>
      </c>
      <c r="E72" s="35">
        <f t="shared" si="6"/>
        <v>0</v>
      </c>
      <c r="F72" s="35">
        <f t="shared" si="6"/>
        <v>0</v>
      </c>
    </row>
    <row r="73" spans="1:6" ht="31.5" x14ac:dyDescent="0.25">
      <c r="A73" s="25" t="s">
        <v>116</v>
      </c>
      <c r="B73" s="18" t="s">
        <v>117</v>
      </c>
      <c r="C73" s="16">
        <v>0</v>
      </c>
      <c r="D73" s="16">
        <v>0</v>
      </c>
      <c r="E73" s="16">
        <v>0</v>
      </c>
      <c r="F73" s="16">
        <v>0</v>
      </c>
    </row>
    <row r="74" spans="1:6" ht="31.5" hidden="1" x14ac:dyDescent="0.25">
      <c r="A74" s="30" t="s">
        <v>110</v>
      </c>
      <c r="B74" s="23" t="s">
        <v>70</v>
      </c>
      <c r="C74" s="32">
        <v>0</v>
      </c>
      <c r="D74" s="32"/>
      <c r="E74" s="32"/>
      <c r="F74" s="32"/>
    </row>
    <row r="75" spans="1:6" x14ac:dyDescent="0.25">
      <c r="A75" s="24" t="s">
        <v>111</v>
      </c>
      <c r="B75" s="21" t="s">
        <v>71</v>
      </c>
      <c r="C75" s="33">
        <f>SUM(C76:C78)</f>
        <v>0</v>
      </c>
      <c r="D75" s="33">
        <f>SUM(D76:D102)</f>
        <v>0</v>
      </c>
      <c r="E75" s="33">
        <f>SUM(E76:E78)</f>
        <v>0</v>
      </c>
      <c r="F75" s="33">
        <f>SUM(F76:F78)</f>
        <v>0</v>
      </c>
    </row>
    <row r="76" spans="1:6" ht="31.5" x14ac:dyDescent="0.25">
      <c r="A76" s="38" t="s">
        <v>183</v>
      </c>
      <c r="B76" s="31" t="s">
        <v>170</v>
      </c>
      <c r="C76" s="16">
        <v>0</v>
      </c>
      <c r="D76" s="16">
        <v>0</v>
      </c>
      <c r="E76" s="16">
        <v>0</v>
      </c>
      <c r="F76" s="16">
        <v>0</v>
      </c>
    </row>
    <row r="77" spans="1:6" ht="31.5" x14ac:dyDescent="0.25">
      <c r="A77" s="38" t="s">
        <v>184</v>
      </c>
      <c r="B77" s="31" t="s">
        <v>172</v>
      </c>
      <c r="C77" s="16">
        <v>0</v>
      </c>
      <c r="D77" s="16">
        <v>0</v>
      </c>
      <c r="E77" s="16">
        <v>0</v>
      </c>
      <c r="F77" s="16">
        <v>0</v>
      </c>
    </row>
    <row r="78" spans="1:6" ht="31.5" x14ac:dyDescent="0.25">
      <c r="A78" s="38" t="s">
        <v>185</v>
      </c>
      <c r="B78" s="31" t="s">
        <v>174</v>
      </c>
      <c r="C78" s="16">
        <v>0</v>
      </c>
      <c r="D78" s="16">
        <v>0</v>
      </c>
      <c r="E78" s="16">
        <v>0</v>
      </c>
      <c r="F78" s="16">
        <v>0</v>
      </c>
    </row>
    <row r="79" spans="1:6" ht="31.5" x14ac:dyDescent="0.25">
      <c r="A79" s="38" t="s">
        <v>186</v>
      </c>
      <c r="B79" s="37" t="s">
        <v>133</v>
      </c>
      <c r="C79" s="16">
        <v>0</v>
      </c>
      <c r="D79" s="16"/>
      <c r="E79" s="16">
        <v>0</v>
      </c>
      <c r="F79" s="16">
        <v>0</v>
      </c>
    </row>
    <row r="80" spans="1:6" ht="31.5" x14ac:dyDescent="0.25">
      <c r="A80" s="38" t="s">
        <v>187</v>
      </c>
      <c r="B80" s="37" t="s">
        <v>176</v>
      </c>
      <c r="C80" s="16">
        <v>0</v>
      </c>
      <c r="D80" s="16">
        <v>0</v>
      </c>
      <c r="E80" s="16">
        <v>0</v>
      </c>
      <c r="F80" s="16">
        <v>0</v>
      </c>
    </row>
    <row r="81" spans="1:6" x14ac:dyDescent="0.25">
      <c r="A81" s="38" t="s">
        <v>188</v>
      </c>
      <c r="B81" s="37" t="s">
        <v>122</v>
      </c>
      <c r="C81" s="16">
        <v>0</v>
      </c>
      <c r="D81" s="16">
        <v>0</v>
      </c>
      <c r="E81" s="16">
        <v>0</v>
      </c>
      <c r="F81" s="16">
        <v>0</v>
      </c>
    </row>
    <row r="82" spans="1:6" ht="31.5" x14ac:dyDescent="0.25">
      <c r="A82" s="38" t="s">
        <v>208</v>
      </c>
      <c r="B82" s="37" t="s">
        <v>177</v>
      </c>
      <c r="C82" s="16">
        <v>0</v>
      </c>
      <c r="D82" s="16">
        <v>0</v>
      </c>
      <c r="E82" s="16">
        <v>0</v>
      </c>
      <c r="F82" s="16">
        <v>0</v>
      </c>
    </row>
    <row r="83" spans="1:6" x14ac:dyDescent="0.25">
      <c r="A83" s="38" t="s">
        <v>189</v>
      </c>
      <c r="B83" s="37" t="s">
        <v>179</v>
      </c>
      <c r="C83" s="16">
        <v>0</v>
      </c>
      <c r="D83" s="16">
        <v>0</v>
      </c>
      <c r="E83" s="16">
        <v>0</v>
      </c>
      <c r="F83" s="16">
        <v>0</v>
      </c>
    </row>
    <row r="84" spans="1:6" x14ac:dyDescent="0.25">
      <c r="A84" s="38" t="s">
        <v>209</v>
      </c>
      <c r="B84" s="37" t="s">
        <v>180</v>
      </c>
      <c r="C84" s="16">
        <v>0</v>
      </c>
      <c r="D84" s="16">
        <v>0</v>
      </c>
      <c r="E84" s="16">
        <v>0</v>
      </c>
      <c r="F84" s="16">
        <v>0</v>
      </c>
    </row>
    <row r="85" spans="1:6" x14ac:dyDescent="0.25">
      <c r="A85" s="38" t="s">
        <v>190</v>
      </c>
      <c r="B85" s="37" t="s">
        <v>147</v>
      </c>
      <c r="C85" s="16">
        <v>0</v>
      </c>
      <c r="D85" s="16">
        <v>0</v>
      </c>
      <c r="E85" s="16">
        <v>0</v>
      </c>
      <c r="F85" s="16">
        <v>0</v>
      </c>
    </row>
    <row r="86" spans="1:6" x14ac:dyDescent="0.25">
      <c r="A86" s="38" t="s">
        <v>210</v>
      </c>
      <c r="B86" s="37" t="s">
        <v>141</v>
      </c>
      <c r="C86" s="16">
        <v>0</v>
      </c>
      <c r="D86" s="16">
        <v>0</v>
      </c>
      <c r="E86" s="16">
        <v>0</v>
      </c>
      <c r="F86" s="16">
        <v>0</v>
      </c>
    </row>
    <row r="87" spans="1:6" x14ac:dyDescent="0.25">
      <c r="A87" s="38" t="s">
        <v>211</v>
      </c>
      <c r="B87" s="37" t="s">
        <v>140</v>
      </c>
      <c r="C87" s="16">
        <v>0</v>
      </c>
      <c r="D87" s="16">
        <v>0</v>
      </c>
      <c r="E87" s="16">
        <v>0</v>
      </c>
      <c r="F87" s="16">
        <v>0</v>
      </c>
    </row>
    <row r="88" spans="1:6" x14ac:dyDescent="0.25">
      <c r="A88" s="38" t="s">
        <v>212</v>
      </c>
      <c r="B88" s="37" t="s">
        <v>213</v>
      </c>
      <c r="C88" s="16">
        <v>0</v>
      </c>
      <c r="D88" s="16">
        <v>0</v>
      </c>
      <c r="E88" s="16"/>
      <c r="F88" s="16"/>
    </row>
    <row r="89" spans="1:6" x14ac:dyDescent="0.25">
      <c r="A89" s="38" t="s">
        <v>215</v>
      </c>
      <c r="B89" s="37" t="s">
        <v>216</v>
      </c>
      <c r="C89" s="16">
        <v>0</v>
      </c>
      <c r="D89" s="16">
        <v>0</v>
      </c>
      <c r="E89" s="16"/>
      <c r="F89" s="16"/>
    </row>
    <row r="90" spans="1:6" x14ac:dyDescent="0.25">
      <c r="A90" s="38" t="s">
        <v>191</v>
      </c>
      <c r="B90" s="37" t="s">
        <v>192</v>
      </c>
      <c r="C90" s="16">
        <v>0</v>
      </c>
      <c r="D90" s="16">
        <v>0</v>
      </c>
      <c r="E90" s="16"/>
      <c r="F90" s="16"/>
    </row>
    <row r="91" spans="1:6" x14ac:dyDescent="0.25">
      <c r="A91" s="38" t="s">
        <v>218</v>
      </c>
      <c r="B91" s="37" t="s">
        <v>198</v>
      </c>
      <c r="C91" s="16">
        <v>0</v>
      </c>
      <c r="D91" s="16">
        <v>0</v>
      </c>
      <c r="E91" s="16"/>
      <c r="F91" s="16"/>
    </row>
    <row r="92" spans="1:6" x14ac:dyDescent="0.25">
      <c r="A92" s="38" t="s">
        <v>219</v>
      </c>
      <c r="B92" s="37" t="s">
        <v>221</v>
      </c>
      <c r="C92" s="16">
        <v>0</v>
      </c>
      <c r="D92" s="16">
        <v>0</v>
      </c>
      <c r="E92" s="16"/>
      <c r="F92" s="16"/>
    </row>
    <row r="93" spans="1:6" x14ac:dyDescent="0.25">
      <c r="A93" s="38" t="s">
        <v>220</v>
      </c>
      <c r="B93" s="37" t="s">
        <v>194</v>
      </c>
      <c r="C93" s="16">
        <v>0</v>
      </c>
      <c r="D93" s="16">
        <v>0</v>
      </c>
      <c r="E93" s="16"/>
      <c r="F93" s="16"/>
    </row>
    <row r="94" spans="1:6" ht="31.5" x14ac:dyDescent="0.25">
      <c r="A94" s="38" t="s">
        <v>223</v>
      </c>
      <c r="B94" s="37" t="s">
        <v>196</v>
      </c>
      <c r="C94" s="16">
        <v>0</v>
      </c>
      <c r="D94" s="16">
        <v>0</v>
      </c>
      <c r="E94" s="16"/>
      <c r="F94" s="16"/>
    </row>
    <row r="95" spans="1:6" x14ac:dyDescent="0.25">
      <c r="A95" s="38" t="s">
        <v>224</v>
      </c>
      <c r="B95" s="37" t="s">
        <v>225</v>
      </c>
      <c r="C95" s="16">
        <v>0</v>
      </c>
      <c r="D95" s="16">
        <v>0</v>
      </c>
      <c r="E95" s="16"/>
      <c r="F95" s="16"/>
    </row>
    <row r="96" spans="1:6" x14ac:dyDescent="0.25">
      <c r="A96" s="38" t="s">
        <v>227</v>
      </c>
      <c r="B96" s="37" t="s">
        <v>228</v>
      </c>
      <c r="C96" s="16">
        <v>0</v>
      </c>
      <c r="D96" s="16">
        <v>0</v>
      </c>
      <c r="E96" s="16"/>
      <c r="F96" s="16"/>
    </row>
    <row r="97" spans="1:6" ht="31.5" x14ac:dyDescent="0.25">
      <c r="A97" s="38" t="s">
        <v>230</v>
      </c>
      <c r="B97" s="37" t="s">
        <v>231</v>
      </c>
      <c r="C97" s="16">
        <v>0</v>
      </c>
      <c r="D97" s="16">
        <v>0</v>
      </c>
      <c r="E97" s="16"/>
      <c r="F97" s="16"/>
    </row>
    <row r="98" spans="1:6" x14ac:dyDescent="0.25">
      <c r="A98" s="38" t="s">
        <v>233</v>
      </c>
      <c r="B98" s="37" t="s">
        <v>234</v>
      </c>
      <c r="C98" s="16">
        <v>0</v>
      </c>
      <c r="D98" s="16">
        <v>0</v>
      </c>
      <c r="E98" s="16"/>
      <c r="F98" s="16"/>
    </row>
    <row r="99" spans="1:6" x14ac:dyDescent="0.25">
      <c r="A99" s="38" t="s">
        <v>236</v>
      </c>
      <c r="B99" s="37" t="s">
        <v>237</v>
      </c>
      <c r="C99" s="16">
        <v>0</v>
      </c>
      <c r="D99" s="16">
        <v>0</v>
      </c>
      <c r="E99" s="16"/>
      <c r="F99" s="16"/>
    </row>
    <row r="100" spans="1:6" ht="31.5" x14ac:dyDescent="0.25">
      <c r="A100" s="38" t="s">
        <v>239</v>
      </c>
      <c r="B100" s="37" t="s">
        <v>240</v>
      </c>
      <c r="C100" s="16">
        <v>0</v>
      </c>
      <c r="D100" s="16">
        <v>0</v>
      </c>
      <c r="E100" s="16"/>
      <c r="F100" s="16"/>
    </row>
    <row r="101" spans="1:6" x14ac:dyDescent="0.25">
      <c r="A101" s="38" t="s">
        <v>242</v>
      </c>
      <c r="B101" s="37" t="s">
        <v>243</v>
      </c>
      <c r="C101" s="16">
        <v>0</v>
      </c>
      <c r="D101" s="16">
        <v>0</v>
      </c>
      <c r="E101" s="16"/>
      <c r="F101" s="16"/>
    </row>
    <row r="102" spans="1:6" ht="31.5" x14ac:dyDescent="0.25">
      <c r="A102" s="38" t="s">
        <v>245</v>
      </c>
      <c r="B102" s="37" t="s">
        <v>246</v>
      </c>
      <c r="C102" s="16">
        <v>0.5</v>
      </c>
      <c r="D102" s="16">
        <v>0</v>
      </c>
      <c r="E102" s="16"/>
      <c r="F102" s="16"/>
    </row>
  </sheetData>
  <mergeCells count="5">
    <mergeCell ref="A6:F6"/>
    <mergeCell ref="A14:A17"/>
    <mergeCell ref="B14:B17"/>
    <mergeCell ref="C14:D14"/>
    <mergeCell ref="E14:F14"/>
  </mergeCells>
  <phoneticPr fontId="10" type="noConversion"/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 об исп-е</vt:lpstr>
      <vt:lpstr>Отчет по вводу,выв-у</vt:lpstr>
      <vt:lpstr>'Отчет об исп-е'!Заголовки_для_печати</vt:lpstr>
      <vt:lpstr>'Отчет об исп-е'!Область_печати</vt:lpstr>
      <vt:lpstr>'Отчет по вводу,выв-у'!Область_печати</vt:lpstr>
    </vt:vector>
  </TitlesOfParts>
  <Company>ОАО АК "Якутскэнерго"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Олесова Надежда Валерьевна</dc:creator>
  <cp:lastModifiedBy>Траут Екатерина Юрьевна</cp:lastModifiedBy>
  <cp:lastPrinted>2025-02-11T01:54:25Z</cp:lastPrinted>
  <dcterms:created xsi:type="dcterms:W3CDTF">2015-02-25T05:18:51Z</dcterms:created>
  <dcterms:modified xsi:type="dcterms:W3CDTF">2025-10-27T06:13:30Z</dcterms:modified>
</cp:coreProperties>
</file>