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kt-fs01\ygc\gnc\18. Инвест.программа\1. ИПР МинЖКХиЭ\ОТЧЕТЫ МИН ЖКХ\2025 год\2 квартал 2025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исп-е'!$A$1:$AE$75</definedName>
    <definedName name="_xlnm.Print_Area" localSheetId="1">'Отчет по вводу,выв-у'!$A$1:$F$79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91" i="1" l="1"/>
  <c r="U49" i="1"/>
  <c r="S59" i="1"/>
  <c r="T59" i="1"/>
  <c r="U57" i="1"/>
  <c r="U59" i="1"/>
  <c r="U52" i="1"/>
  <c r="U95" i="1"/>
  <c r="U105" i="1"/>
  <c r="U97" i="1"/>
  <c r="U100" i="1"/>
  <c r="U99" i="1"/>
  <c r="U103" i="1"/>
  <c r="U104" i="1"/>
  <c r="T104" i="1" s="1"/>
  <c r="S103" i="1"/>
  <c r="T103" i="1"/>
  <c r="S104" i="1"/>
  <c r="S75" i="1" s="1"/>
  <c r="S105" i="1"/>
  <c r="T105" i="1"/>
  <c r="U69" i="1"/>
  <c r="U68" i="1"/>
  <c r="U73" i="1"/>
  <c r="AB74" i="1"/>
  <c r="AB76" i="1"/>
  <c r="E75" i="1"/>
  <c r="F75" i="1"/>
  <c r="G75" i="1"/>
  <c r="H75" i="1"/>
  <c r="I75" i="1"/>
  <c r="K75" i="1"/>
  <c r="L75" i="1"/>
  <c r="M75" i="1"/>
  <c r="N75" i="1"/>
  <c r="O75" i="1"/>
  <c r="P75" i="1"/>
  <c r="Q75" i="1"/>
  <c r="R75" i="1"/>
  <c r="V75" i="1"/>
  <c r="W75" i="1"/>
  <c r="X75" i="1"/>
  <c r="Y75" i="1"/>
  <c r="D75" i="1"/>
  <c r="K104" i="1"/>
  <c r="J104" i="1" s="1"/>
  <c r="K103" i="1"/>
  <c r="I103" i="1"/>
  <c r="J103" i="1"/>
  <c r="I104" i="1"/>
  <c r="K90" i="1"/>
  <c r="K91" i="1"/>
  <c r="K92" i="1"/>
  <c r="U75" i="1" l="1"/>
  <c r="K100" i="1"/>
  <c r="K99" i="1"/>
  <c r="K97" i="1"/>
  <c r="K105" i="1"/>
  <c r="J105" i="1"/>
  <c r="K95" i="1"/>
  <c r="K84" i="1"/>
  <c r="K52" i="1"/>
  <c r="K49" i="1"/>
  <c r="K59" i="1"/>
  <c r="K57" i="1" s="1"/>
  <c r="Z57" i="1"/>
  <c r="Y57" i="1"/>
  <c r="X57" i="1"/>
  <c r="W57" i="1"/>
  <c r="V57" i="1"/>
  <c r="R57" i="1"/>
  <c r="Q57" i="1"/>
  <c r="P57" i="1"/>
  <c r="O57" i="1"/>
  <c r="N57" i="1"/>
  <c r="M57" i="1"/>
  <c r="L57" i="1"/>
  <c r="H57" i="1"/>
  <c r="G57" i="1"/>
  <c r="F57" i="1"/>
  <c r="D57" i="1"/>
  <c r="E57" i="1"/>
  <c r="J59" i="1" l="1"/>
  <c r="K68" i="1" l="1"/>
  <c r="K73" i="1"/>
  <c r="K69" i="1"/>
  <c r="J53" i="1" l="1"/>
  <c r="D24" i="1"/>
  <c r="D72" i="1"/>
  <c r="D66" i="1" s="1"/>
  <c r="D67" i="1"/>
  <c r="D42" i="1"/>
  <c r="D41" i="1"/>
  <c r="D20" i="1" s="1"/>
  <c r="D25" i="1" l="1"/>
  <c r="D17" i="1" s="1"/>
  <c r="D22" i="1"/>
  <c r="S18" i="1" l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8" i="1"/>
  <c r="S57" i="1" s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7" i="1" s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E42" i="1"/>
  <c r="E67" i="1"/>
  <c r="E72" i="1"/>
  <c r="E24" i="1"/>
  <c r="I24" i="1" s="1"/>
  <c r="E41" i="1" l="1"/>
  <c r="E25" i="1" s="1"/>
  <c r="E66" i="1"/>
  <c r="E22" i="1" s="1"/>
  <c r="I22" i="1" s="1"/>
  <c r="T88" i="1"/>
  <c r="T89" i="1"/>
  <c r="T92" i="1"/>
  <c r="T93" i="1"/>
  <c r="T94" i="1"/>
  <c r="T95" i="1"/>
  <c r="T96" i="1"/>
  <c r="T97" i="1"/>
  <c r="T98" i="1"/>
  <c r="T99" i="1"/>
  <c r="T100" i="1"/>
  <c r="T101" i="1"/>
  <c r="T102" i="1"/>
  <c r="E17" i="1" l="1"/>
  <c r="I17" i="1" s="1"/>
  <c r="I25" i="1"/>
  <c r="E20" i="1"/>
  <c r="I20" i="1" s="1"/>
  <c r="I41" i="1"/>
  <c r="J88" i="1"/>
  <c r="J89" i="1"/>
  <c r="J90" i="1"/>
  <c r="J92" i="1"/>
  <c r="J95" i="1"/>
  <c r="J75" i="1" s="1"/>
  <c r="J96" i="1"/>
  <c r="J97" i="1"/>
  <c r="J98" i="1"/>
  <c r="J99" i="1"/>
  <c r="J100" i="1"/>
  <c r="J101" i="1"/>
  <c r="J102" i="1"/>
  <c r="J52" i="1"/>
  <c r="D44" i="3" l="1"/>
  <c r="E44" i="3"/>
  <c r="F44" i="3"/>
  <c r="C44" i="3"/>
  <c r="Z90" i="1" l="1"/>
  <c r="J93" i="1"/>
  <c r="J94" i="1"/>
  <c r="F42" i="1"/>
  <c r="G42" i="1"/>
  <c r="H42" i="1"/>
  <c r="M42" i="1"/>
  <c r="N42" i="1"/>
  <c r="O42" i="1"/>
  <c r="P42" i="1"/>
  <c r="Q42" i="1"/>
  <c r="R42" i="1"/>
  <c r="V42" i="1"/>
  <c r="W42" i="1"/>
  <c r="X42" i="1"/>
  <c r="T90" i="1" l="1"/>
  <c r="T91" i="1"/>
  <c r="T75" i="1" s="1"/>
  <c r="J91" i="1"/>
  <c r="AA94" i="1"/>
  <c r="AB94" i="1" s="1"/>
  <c r="Z94" i="1"/>
  <c r="Z93" i="1"/>
  <c r="AA93" i="1"/>
  <c r="AB93" i="1" s="1"/>
  <c r="AA90" i="1"/>
  <c r="AB90" i="1" s="1"/>
  <c r="D75" i="3" l="1"/>
  <c r="L42" i="1" l="1"/>
  <c r="Z109" i="1" l="1"/>
  <c r="Z75" i="1" s="1"/>
  <c r="AA109" i="1"/>
  <c r="AB109" i="1" l="1"/>
  <c r="AA75" i="1"/>
  <c r="AB75" i="1" s="1"/>
  <c r="K42" i="1"/>
  <c r="T87" i="1" l="1"/>
  <c r="J87" i="1"/>
  <c r="AA87" i="1" s="1"/>
  <c r="AB87" i="1" s="1"/>
  <c r="Z87" i="1" l="1"/>
  <c r="U42" i="1" l="1"/>
  <c r="T76" i="1" l="1"/>
  <c r="T77" i="1"/>
  <c r="T78" i="1"/>
  <c r="T79" i="1"/>
  <c r="T80" i="1"/>
  <c r="T81" i="1"/>
  <c r="J76" i="1"/>
  <c r="J77" i="1"/>
  <c r="J78" i="1"/>
  <c r="J79" i="1"/>
  <c r="J80" i="1"/>
  <c r="J81" i="1"/>
  <c r="Z77" i="1" l="1"/>
  <c r="AA77" i="1"/>
  <c r="AB77" i="1" s="1"/>
  <c r="AA80" i="1"/>
  <c r="AB80" i="1" s="1"/>
  <c r="Z80" i="1"/>
  <c r="Z76" i="1"/>
  <c r="AA76" i="1"/>
  <c r="AA79" i="1"/>
  <c r="AB79" i="1" s="1"/>
  <c r="Z79" i="1"/>
  <c r="AA81" i="1"/>
  <c r="AB81" i="1" s="1"/>
  <c r="Z81" i="1"/>
  <c r="AA78" i="1"/>
  <c r="AB78" i="1" s="1"/>
  <c r="Z78" i="1"/>
  <c r="L67" i="1"/>
  <c r="M67" i="1"/>
  <c r="N67" i="1"/>
  <c r="J49" i="1" l="1"/>
  <c r="J50" i="1"/>
  <c r="J51" i="1"/>
  <c r="J46" i="1"/>
  <c r="J48" i="1"/>
  <c r="J47" i="1"/>
  <c r="J45" i="1"/>
  <c r="J44" i="1"/>
  <c r="J43" i="1"/>
  <c r="J42" i="1" l="1"/>
  <c r="AA48" i="1"/>
  <c r="Z48" i="1"/>
  <c r="Z50" i="1"/>
  <c r="AA50" i="1"/>
  <c r="Z47" i="1"/>
  <c r="AA47" i="1"/>
  <c r="Z43" i="1"/>
  <c r="AA43" i="1"/>
  <c r="Z46" i="1"/>
  <c r="AA46" i="1"/>
  <c r="AA44" i="1"/>
  <c r="Z44" i="1"/>
  <c r="AA51" i="1"/>
  <c r="Z51" i="1"/>
  <c r="AA45" i="1"/>
  <c r="Z45" i="1"/>
  <c r="AA49" i="1"/>
  <c r="Z49" i="1"/>
  <c r="J68" i="1"/>
  <c r="K67" i="1"/>
  <c r="Z42" i="1" l="1"/>
  <c r="J69" i="1"/>
  <c r="J67" i="1" s="1"/>
  <c r="T86" i="1"/>
  <c r="T85" i="1"/>
  <c r="T84" i="1"/>
  <c r="T82" i="1"/>
  <c r="T83" i="1" l="1"/>
  <c r="J82" i="1"/>
  <c r="J83" i="1"/>
  <c r="J84" i="1"/>
  <c r="J85" i="1"/>
  <c r="J86" i="1"/>
  <c r="Z82" i="1" l="1"/>
  <c r="AA82" i="1"/>
  <c r="Z83" i="1"/>
  <c r="AA83" i="1"/>
  <c r="AB83" i="1" s="1"/>
  <c r="Z84" i="1"/>
  <c r="AA84" i="1"/>
  <c r="AB84" i="1" s="1"/>
  <c r="Z85" i="1"/>
  <c r="AA85" i="1"/>
  <c r="AB85" i="1" s="1"/>
  <c r="Z86" i="1"/>
  <c r="AA86" i="1"/>
  <c r="AB86" i="1" s="1"/>
  <c r="F24" i="1"/>
  <c r="G24" i="1"/>
  <c r="H24" i="1"/>
  <c r="N24" i="1"/>
  <c r="O24" i="1"/>
  <c r="S24" i="1" s="1"/>
  <c r="P24" i="1"/>
  <c r="Q24" i="1"/>
  <c r="R24" i="1"/>
  <c r="X24" i="1"/>
  <c r="Y24" i="1"/>
  <c r="AB82" i="1" l="1"/>
  <c r="M72" i="1"/>
  <c r="M66" i="1" s="1"/>
  <c r="L72" i="1"/>
  <c r="L66" i="1" s="1"/>
  <c r="M24" i="1" l="1"/>
  <c r="L24" i="1" l="1"/>
  <c r="W24" i="1" l="1"/>
  <c r="V24" i="1"/>
  <c r="J58" i="1"/>
  <c r="J57" i="1" s="1"/>
  <c r="K24" i="1"/>
  <c r="AA58" i="1" l="1"/>
  <c r="K72" i="1"/>
  <c r="K66" i="1" s="1"/>
  <c r="N72" i="1"/>
  <c r="N66" i="1" s="1"/>
  <c r="J24" i="1"/>
  <c r="T69" i="1"/>
  <c r="T68" i="1"/>
  <c r="U24" i="1"/>
  <c r="AB58" i="1" l="1"/>
  <c r="AA57" i="1"/>
  <c r="J73" i="1"/>
  <c r="T73" i="1"/>
  <c r="T72" i="1" s="1"/>
  <c r="T24" i="1"/>
  <c r="P72" i="1"/>
  <c r="Q72" i="1"/>
  <c r="R72" i="1"/>
  <c r="U72" i="1"/>
  <c r="V72" i="1"/>
  <c r="W72" i="1"/>
  <c r="X72" i="1"/>
  <c r="P67" i="1"/>
  <c r="Q67" i="1"/>
  <c r="R67" i="1"/>
  <c r="T67" i="1"/>
  <c r="U67" i="1"/>
  <c r="V67" i="1"/>
  <c r="W67" i="1"/>
  <c r="X67" i="1"/>
  <c r="T58" i="1"/>
  <c r="T57" i="1" s="1"/>
  <c r="T43" i="1"/>
  <c r="T44" i="1"/>
  <c r="T45" i="1"/>
  <c r="T46" i="1"/>
  <c r="T47" i="1"/>
  <c r="T48" i="1"/>
  <c r="T49" i="1"/>
  <c r="T50" i="1"/>
  <c r="T51" i="1"/>
  <c r="Y42" i="1" s="1"/>
  <c r="T52" i="1"/>
  <c r="T53" i="1"/>
  <c r="T54" i="1"/>
  <c r="T55" i="1"/>
  <c r="T56" i="1"/>
  <c r="K22" i="1"/>
  <c r="L22" i="1"/>
  <c r="M22" i="1"/>
  <c r="N22" i="1"/>
  <c r="K41" i="1"/>
  <c r="L41" i="1"/>
  <c r="L20" i="1" s="1"/>
  <c r="M41" i="1"/>
  <c r="M20" i="1" s="1"/>
  <c r="N41" i="1"/>
  <c r="N20" i="1" s="1"/>
  <c r="T42" i="1" l="1"/>
  <c r="Q66" i="1"/>
  <c r="P66" i="1"/>
  <c r="W66" i="1"/>
  <c r="W22" i="1" s="1"/>
  <c r="V66" i="1"/>
  <c r="V22" i="1" s="1"/>
  <c r="R66" i="1"/>
  <c r="W41" i="1"/>
  <c r="W20" i="1" s="1"/>
  <c r="X66" i="1"/>
  <c r="X22" i="1" s="1"/>
  <c r="T66" i="1"/>
  <c r="V41" i="1"/>
  <c r="V20" i="1" s="1"/>
  <c r="U66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9" i="1" l="1"/>
  <c r="AB69" i="1" s="1"/>
  <c r="Z69" i="1"/>
  <c r="AA68" i="1"/>
  <c r="AB68" i="1" s="1"/>
  <c r="Z68" i="1"/>
  <c r="O67" i="1" l="1"/>
  <c r="O72" i="1"/>
  <c r="J72" i="1"/>
  <c r="J66" i="1" s="1"/>
  <c r="O66" i="1" l="1"/>
  <c r="O22" i="1" s="1"/>
  <c r="S22" i="1" s="1"/>
  <c r="O41" i="1"/>
  <c r="S41" i="1" s="1"/>
  <c r="O20" i="1" l="1"/>
  <c r="S20" i="1" s="1"/>
  <c r="O25" i="1"/>
  <c r="O17" i="1" l="1"/>
  <c r="S17" i="1" s="1"/>
  <c r="S25" i="1"/>
  <c r="C66" i="3"/>
  <c r="C75" i="3"/>
  <c r="C26" i="3" s="1"/>
  <c r="Z73" i="1"/>
  <c r="AA24" i="1" l="1"/>
  <c r="Z24" i="1"/>
  <c r="C43" i="3" l="1"/>
  <c r="C27" i="3" s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A73" i="1"/>
  <c r="AB73" i="1" s="1"/>
  <c r="Y72" i="1"/>
  <c r="T41" i="1"/>
  <c r="T20" i="1" s="1"/>
  <c r="C24" i="3" l="1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6" i="1" l="1"/>
  <c r="Y25" i="1" s="1"/>
  <c r="Y22" i="1" s="1"/>
  <c r="Y17" i="1" s="1"/>
  <c r="Y41" i="1" l="1"/>
  <c r="Z55" i="1"/>
  <c r="Z56" i="1"/>
  <c r="Z41" i="1"/>
  <c r="Z60" i="1"/>
  <c r="Z61" i="1"/>
  <c r="Z62" i="1"/>
  <c r="Z63" i="1"/>
  <c r="Z64" i="1"/>
  <c r="Z65" i="1"/>
  <c r="Z70" i="1"/>
  <c r="Z71" i="1"/>
  <c r="Z72" i="1"/>
  <c r="Z74" i="1"/>
  <c r="AB24" i="1"/>
  <c r="Z67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55" i="1"/>
  <c r="AB55" i="1" s="1"/>
  <c r="AA56" i="1"/>
  <c r="AB56" i="1" s="1"/>
  <c r="AB57" i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70" i="1"/>
  <c r="AB70" i="1" s="1"/>
  <c r="AA71" i="1"/>
  <c r="AB71" i="1" s="1"/>
  <c r="AA72" i="1"/>
  <c r="AB72" i="1" s="1"/>
  <c r="AA74" i="1"/>
  <c r="AA42" i="1" l="1"/>
  <c r="AB42" i="1" s="1"/>
  <c r="Z20" i="1"/>
  <c r="AA67" i="1"/>
  <c r="AB67" i="1" s="1"/>
  <c r="AA66" i="1" l="1"/>
  <c r="AB66" i="1" s="1"/>
  <c r="Z66" i="1"/>
  <c r="Z22" i="1" l="1"/>
  <c r="Z25" i="1"/>
  <c r="Z17" i="1" s="1"/>
  <c r="AA25" i="1"/>
  <c r="AB25" i="1" s="1"/>
  <c r="AA22" i="1" l="1"/>
  <c r="AB22" i="1" s="1"/>
</calcChain>
</file>

<file path=xl/sharedStrings.xml><?xml version="1.0" encoding="utf-8"?>
<sst xmlns="http://schemas.openxmlformats.org/spreadsheetml/2006/main" count="493" uniqueCount="267">
  <si>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</si>
  <si>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</si>
  <si>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</si>
  <si>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</si>
  <si>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</si>
  <si>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</si>
  <si>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</si>
  <si>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</si>
  <si>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</si>
  <si>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</si>
  <si>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</si>
  <si>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</si>
  <si>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</si>
  <si>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</si>
  <si>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</si>
  <si>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</si>
  <si>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</si>
  <si>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</si>
  <si>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</si>
  <si>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</si>
  <si>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</si>
  <si>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</si>
  <si>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</si>
  <si>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</si>
  <si>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</si>
  <si>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</si>
  <si>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</si>
  <si>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</si>
  <si>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</si>
  <si>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</si>
  <si>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</si>
  <si>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</si>
  <si>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</si>
  <si>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</si>
  <si>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</si>
  <si>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</si>
  <si>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</si>
  <si>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</si>
  <si>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</si>
  <si>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</si>
  <si>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</si>
  <si>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</si>
  <si>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</si>
  <si>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</si>
  <si>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</si>
  <si>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</si>
  <si>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</si>
  <si>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</si>
  <si>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</si>
  <si>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</si>
  <si>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</si>
  <si>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</si>
  <si>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</si>
  <si>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</si>
  <si>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</si>
  <si>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</si>
  <si>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</si>
  <si>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</si>
  <si>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</si>
  <si>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</si>
  <si>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</si>
  <si>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</si>
  <si>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</si>
  <si>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</si>
  <si>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</si>
  <si>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</si>
  <si>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</si>
  <si>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</si>
  <si>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</si>
  <si>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</si>
  <si>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</si>
  <si>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</si>
  <si>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</si>
  <si>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</si>
  <si>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</si>
  <si>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</si>
  <si>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</si>
  <si>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</si>
  <si>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</si>
  <si>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</si>
  <si>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</si>
  <si>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</si>
  <si>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</si>
  <si>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</si>
  <si>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</si>
  <si>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</si>
  <si>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</si>
  <si>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</si>
  <si>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</si>
  <si>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</si>
  <si>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</si>
  <si>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</si>
  <si>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</si>
  <si>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</si>
  <si>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</si>
  <si>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</si>
  <si>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</si>
  <si>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</si>
  <si>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</si>
  <si>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</si>
  <si>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</si>
  <si>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</si>
  <si>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</si>
  <si>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</si>
  <si>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</si>
  <si>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</si>
  <si>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</si>
  <si>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</si>
  <si>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</si>
  <si>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</si>
  <si>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</si>
  <si>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</si>
  <si>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</si>
  <si>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</si>
  <si>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</si>
  <si>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</si>
  <si>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</si>
  <si>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</si>
  <si>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</si>
  <si>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Замена  дизель генератора 200 кВт GCU 400 EWC на дизель-генератор 2х500, ЭД60-Т400РК на ДЭС 60 кВт участок "Эбелях 5" - 1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</si>
  <si>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</si>
  <si>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</si>
  <si>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</si>
  <si>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</si>
  <si>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</si>
  <si>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</si>
  <si>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</si>
  <si>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</si>
  <si>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М_08.2022.10</t>
  </si>
  <si>
    <t>Замена  дизель генератора cummins ЭД-100-Т400,  база Эбелях-дорожник - 1 шт</t>
  </si>
  <si>
    <t>N_08.2023.1.</t>
  </si>
  <si>
    <t>М_08.2022.6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</si>
  <si>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</si>
  <si>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</si>
  <si>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</si>
  <si>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М_08.2022.17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</si>
  <si>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</si>
  <si>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</si>
  <si>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</si>
  <si>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</si>
  <si>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</si>
  <si>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</si>
  <si>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>М_08.2022.14</t>
  </si>
  <si>
    <t>T_04.2023.2.</t>
  </si>
  <si>
    <t>М_08.2022.15</t>
  </si>
  <si>
    <t>М_08.2022.21</t>
  </si>
  <si>
    <t>T_04.2023.3.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</si>
  <si>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</si>
  <si>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</si>
  <si>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</si>
  <si>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L_08.2021.12.</t>
  </si>
  <si>
    <t>Замена  дизель генератора 200 кВт GCU 400 УЦС - 3 шт на дизель генератор 2х500 кВт - 2 шт,  база Балаганнаах</t>
  </si>
  <si>
    <t>L_08.2021.9.</t>
  </si>
  <si>
    <t>Замена дизель генераторов 250 кВт ДЭС GCU 400 EWS на дизель-генератор 2х500 , участок "Эбелях -6 "</t>
  </si>
  <si>
    <t>М_08.2022.9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</si>
  <si>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</si>
  <si>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</si>
  <si>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</si>
  <si>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</si>
  <si>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N_08.2023.5.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</si>
  <si>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</si>
  <si>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</si>
  <si>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</si>
  <si>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</si>
  <si>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</si>
  <si>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</si>
  <si>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</si>
  <si>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</si>
  <si>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</si>
  <si>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</si>
  <si>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</si>
  <si>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М_08.2022.8</t>
  </si>
  <si>
    <t>Приобретение распределительного устройства 0,4 кВ контейнерного типа, участок Эбелях 6</t>
  </si>
  <si>
    <t>М_08.2022.11</t>
  </si>
  <si>
    <t>Приобретение дизель-генератора на происводственные участки в Анабарском районе РС (Я)</t>
  </si>
  <si>
    <t>М_08.2022.16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</si>
  <si>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</si>
  <si>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</si>
  <si>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М_08.2022.20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</si>
  <si>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</si>
  <si>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</si>
  <si>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</si>
  <si>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</si>
  <si>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</si>
  <si>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</si>
  <si>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</si>
  <si>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</si>
  <si>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</si>
  <si>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</si>
  <si>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</si>
  <si>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</si>
  <si>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</si>
  <si>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</si>
  <si>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</si>
  <si>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</si>
  <si>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</si>
  <si>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</si>
  <si>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</si>
  <si>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</si>
  <si>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</si>
  <si>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</si>
  <si>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</si>
  <si>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</si>
  <si>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</si>
  <si>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</si>
  <si>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</si>
  <si>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</si>
  <si>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</si>
  <si>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</si>
  <si>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</si>
  <si>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</si>
  <si>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</si>
  <si>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</si>
  <si>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</si>
  <si>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</si>
  <si>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</si>
  <si>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</si>
  <si>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</si>
  <si>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</si>
  <si>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</si>
  <si>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</si>
  <si>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</si>
  <si>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</si>
  <si>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</si>
  <si>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</si>
  <si>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</si>
  <si>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</si>
  <si>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</si>
  <si>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</si>
  <si>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</si>
  <si>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</si>
  <si>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</si>
  <si>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</si>
  <si>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</si>
  <si>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</si>
  <si>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</si>
  <si>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</si>
  <si>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</si>
  <si>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</si>
  <si>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</si>
  <si>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</si>
  <si>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</si>
  <si>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</si>
  <si>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</si>
  <si>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</si>
  <si>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</si>
  <si>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</si>
  <si>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</si>
  <si>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</si>
  <si>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</si>
  <si>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об исполнении инвестиционной программы ООО  "Якутская генерирующая компания" за 1 квартал 2025 года.</t>
  </si>
  <si>
    <t>Объем освоения 2025 год</t>
  </si>
  <si>
    <t>Объем финансирования 2025 год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</si>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</sst>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9"/>
  <sheetViews>
    <sheetView tabSelected="1" topLeftCell="A13" zoomScale="80" zoomScaleNormal="80" workbookViewId="0">
      <pane xSplit="3" ySplit="7" topLeftCell="J84" activePane="bottomRight" state="frozen"/>
      <selection activeCell="A13" sqref="A13"/>
      <selection pane="topRight" activeCell="D13" sqref="D13"/>
      <selection pane="bottomLeft" activeCell="A20" sqref="A20"/>
      <selection pane="bottomRight" activeCell="L103" sqref="L103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14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5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6"/>
      <c r="AA1" s="54"/>
      <c r="AB1" s="39"/>
      <c r="AE1" s="55" t="s">
        <v>113</v>
      </c>
    </row>
    <row r="2" spans="1:33" ht="21" customHeight="1" x14ac:dyDescent="0.25">
      <c r="D2" s="39"/>
      <c r="Y2" s="96"/>
      <c r="AA2" s="54"/>
      <c r="AB2" s="39"/>
      <c r="AE2" s="55" t="s">
        <v>0</v>
      </c>
    </row>
    <row r="3" spans="1:33" ht="25.5" customHeight="1" x14ac:dyDescent="0.25">
      <c r="D3" s="39"/>
      <c r="Y3" s="96"/>
      <c r="AA3" s="54"/>
      <c r="AB3" s="39"/>
      <c r="AE3" s="55" t="s">
        <v>1</v>
      </c>
    </row>
    <row r="4" spans="1:33" ht="26.25" customHeight="1" x14ac:dyDescent="0.25">
      <c r="D4" s="39"/>
      <c r="Y4" s="96"/>
      <c r="AA4" s="54"/>
      <c r="AB4" s="39"/>
      <c r="AE4" s="55"/>
    </row>
    <row r="5" spans="1:33" ht="25.5" customHeight="1" x14ac:dyDescent="0.25">
      <c r="A5" s="117" t="s">
        <v>250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</row>
    <row r="6" spans="1:33" ht="25.5" customHeight="1" x14ac:dyDescent="0.25">
      <c r="D6" s="39"/>
      <c r="T6" s="48"/>
      <c r="U6" s="48"/>
      <c r="V6" s="48"/>
      <c r="W6" s="48"/>
      <c r="X6" s="48"/>
      <c r="Y6" s="96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6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6"/>
      <c r="AA8" s="54"/>
      <c r="AB8" s="39"/>
      <c r="AE8" s="55" t="s">
        <v>249</v>
      </c>
    </row>
    <row r="9" spans="1:33" ht="20.25" customHeight="1" x14ac:dyDescent="0.25">
      <c r="D9" s="39"/>
      <c r="T9" s="48"/>
      <c r="U9" s="48"/>
      <c r="V9" s="48"/>
      <c r="W9" s="48"/>
      <c r="X9" s="48"/>
      <c r="Y9" s="96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6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7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6"/>
      <c r="F12" s="44"/>
      <c r="G12" s="44"/>
      <c r="H12" s="44"/>
      <c r="I12" s="44"/>
      <c r="J12" s="44"/>
      <c r="K12" s="115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8"/>
      <c r="Z12" s="44"/>
      <c r="AA12" s="59"/>
      <c r="AB12" s="40"/>
      <c r="AC12" s="44"/>
      <c r="AD12" s="44"/>
      <c r="AE12" s="60"/>
    </row>
    <row r="13" spans="1:33" ht="22.5" customHeight="1" x14ac:dyDescent="0.25">
      <c r="A13" s="116" t="s">
        <v>5</v>
      </c>
      <c r="B13" s="116" t="s">
        <v>6</v>
      </c>
      <c r="C13" s="119" t="s">
        <v>127</v>
      </c>
      <c r="D13" s="116" t="s">
        <v>7</v>
      </c>
      <c r="E13" s="122" t="s">
        <v>252</v>
      </c>
      <c r="F13" s="123"/>
      <c r="G13" s="123"/>
      <c r="H13" s="123"/>
      <c r="I13" s="123"/>
      <c r="J13" s="123"/>
      <c r="K13" s="123"/>
      <c r="L13" s="123"/>
      <c r="M13" s="123"/>
      <c r="N13" s="124"/>
      <c r="O13" s="116" t="s">
        <v>251</v>
      </c>
      <c r="P13" s="116"/>
      <c r="Q13" s="116"/>
      <c r="R13" s="116"/>
      <c r="S13" s="116"/>
      <c r="T13" s="116"/>
      <c r="U13" s="116"/>
      <c r="V13" s="116"/>
      <c r="W13" s="116"/>
      <c r="X13" s="116"/>
      <c r="Y13" s="119" t="s">
        <v>8</v>
      </c>
      <c r="Z13" s="116" t="s">
        <v>9</v>
      </c>
      <c r="AA13" s="116" t="s">
        <v>10</v>
      </c>
      <c r="AB13" s="116"/>
      <c r="AC13" s="116"/>
      <c r="AD13" s="116"/>
      <c r="AE13" s="116" t="s">
        <v>11</v>
      </c>
    </row>
    <row r="14" spans="1:33" ht="24" customHeight="1" x14ac:dyDescent="0.25">
      <c r="A14" s="116"/>
      <c r="B14" s="116"/>
      <c r="C14" s="125"/>
      <c r="D14" s="116"/>
      <c r="E14" s="122" t="s">
        <v>12</v>
      </c>
      <c r="F14" s="123"/>
      <c r="G14" s="123"/>
      <c r="H14" s="123"/>
      <c r="I14" s="123"/>
      <c r="J14" s="123"/>
      <c r="K14" s="123"/>
      <c r="L14" s="123"/>
      <c r="M14" s="123"/>
      <c r="N14" s="124"/>
      <c r="O14" s="126" t="s">
        <v>12</v>
      </c>
      <c r="P14" s="127"/>
      <c r="Q14" s="127"/>
      <c r="R14" s="127"/>
      <c r="S14" s="127"/>
      <c r="T14" s="127"/>
      <c r="U14" s="127"/>
      <c r="V14" s="127"/>
      <c r="W14" s="127"/>
      <c r="X14" s="128"/>
      <c r="Y14" s="120"/>
      <c r="Z14" s="116"/>
      <c r="AA14" s="121" t="s">
        <v>13</v>
      </c>
      <c r="AB14" s="116" t="s">
        <v>14</v>
      </c>
      <c r="AC14" s="116" t="s">
        <v>15</v>
      </c>
      <c r="AD14" s="116"/>
      <c r="AE14" s="116"/>
    </row>
    <row r="15" spans="1:33" ht="78.75" x14ac:dyDescent="0.25">
      <c r="A15" s="116"/>
      <c r="B15" s="116"/>
      <c r="C15" s="120"/>
      <c r="D15" s="116"/>
      <c r="E15" s="111" t="s">
        <v>120</v>
      </c>
      <c r="F15" s="111" t="s">
        <v>123</v>
      </c>
      <c r="G15" s="111" t="s">
        <v>124</v>
      </c>
      <c r="H15" s="111" t="s">
        <v>125</v>
      </c>
      <c r="I15" s="111" t="s">
        <v>126</v>
      </c>
      <c r="J15" s="111" t="s">
        <v>16</v>
      </c>
      <c r="K15" s="113" t="s">
        <v>123</v>
      </c>
      <c r="L15" s="111" t="s">
        <v>124</v>
      </c>
      <c r="M15" s="111" t="s">
        <v>125</v>
      </c>
      <c r="N15" s="111" t="s">
        <v>126</v>
      </c>
      <c r="O15" s="111" t="s">
        <v>120</v>
      </c>
      <c r="P15" s="111" t="s">
        <v>123</v>
      </c>
      <c r="Q15" s="111" t="s">
        <v>124</v>
      </c>
      <c r="R15" s="111" t="s">
        <v>125</v>
      </c>
      <c r="S15" s="111" t="s">
        <v>126</v>
      </c>
      <c r="T15" s="111" t="s">
        <v>16</v>
      </c>
      <c r="U15" s="111" t="s">
        <v>123</v>
      </c>
      <c r="V15" s="111" t="s">
        <v>124</v>
      </c>
      <c r="W15" s="111" t="s">
        <v>125</v>
      </c>
      <c r="X15" s="111" t="s">
        <v>126</v>
      </c>
      <c r="Y15" s="99" t="s">
        <v>17</v>
      </c>
      <c r="Z15" s="116"/>
      <c r="AA15" s="121"/>
      <c r="AB15" s="116"/>
      <c r="AC15" s="104" t="s">
        <v>18</v>
      </c>
      <c r="AD15" s="104" t="s">
        <v>19</v>
      </c>
      <c r="AE15" s="116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7">
        <v>4</v>
      </c>
      <c r="F16" s="41"/>
      <c r="G16" s="41"/>
      <c r="H16" s="41"/>
      <c r="I16" s="41"/>
      <c r="J16" s="41">
        <v>5</v>
      </c>
      <c r="K16" s="101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101"/>
      <c r="V16" s="41"/>
      <c r="W16" s="41"/>
      <c r="X16" s="41"/>
      <c r="Y16" s="87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139</v>
      </c>
      <c r="D17" s="2">
        <f>D25</f>
        <v>6186.2819172276768</v>
      </c>
      <c r="E17" s="88">
        <f>E25</f>
        <v>2455.6683656303999</v>
      </c>
      <c r="F17" s="2"/>
      <c r="G17" s="2"/>
      <c r="H17" s="2"/>
      <c r="I17" s="2">
        <f>E17</f>
        <v>2455.6683656303999</v>
      </c>
      <c r="J17" s="2">
        <f>J25</f>
        <v>463.18286102799999</v>
      </c>
      <c r="K17" s="100">
        <f t="shared" ref="K17:N17" si="0">K25</f>
        <v>108.574012438</v>
      </c>
      <c r="L17" s="2">
        <f t="shared" si="0"/>
        <v>354.60884858999998</v>
      </c>
      <c r="M17" s="2">
        <f t="shared" si="0"/>
        <v>0</v>
      </c>
      <c r="N17" s="2">
        <f t="shared" si="0"/>
        <v>0</v>
      </c>
      <c r="O17" s="2">
        <f>O25</f>
        <v>3616.9121704549329</v>
      </c>
      <c r="P17" s="2"/>
      <c r="Q17" s="2"/>
      <c r="R17" s="2"/>
      <c r="S17" s="2">
        <f>O17</f>
        <v>3616.9121704549329</v>
      </c>
      <c r="T17" s="2">
        <f>T25</f>
        <v>729.50744631999999</v>
      </c>
      <c r="U17" s="100">
        <f t="shared" ref="U17:X17" si="1">U25</f>
        <v>153.28716395999999</v>
      </c>
      <c r="V17" s="2">
        <f t="shared" si="1"/>
        <v>576.22028235999994</v>
      </c>
      <c r="W17" s="2">
        <f t="shared" si="1"/>
        <v>0</v>
      </c>
      <c r="X17" s="2">
        <f t="shared" si="1"/>
        <v>0</v>
      </c>
      <c r="Y17" s="100">
        <f>Y22</f>
        <v>0</v>
      </c>
      <c r="Z17" s="2">
        <f>Z25</f>
        <v>2030.0602885539997</v>
      </c>
      <c r="AA17" s="2">
        <f>J17-E17</f>
        <v>-1992.4855046023999</v>
      </c>
      <c r="AB17" s="52">
        <f t="shared" ref="AB17:AB57" si="2">AA17/E17</f>
        <v>-0.81138216075479908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139</v>
      </c>
      <c r="D18" s="2"/>
      <c r="E18" s="88"/>
      <c r="F18" s="2"/>
      <c r="G18" s="2"/>
      <c r="H18" s="2"/>
      <c r="I18" s="2">
        <f t="shared" ref="I18:I82" si="3">E18</f>
        <v>0</v>
      </c>
      <c r="J18" s="2"/>
      <c r="K18" s="100"/>
      <c r="L18" s="2"/>
      <c r="M18" s="2"/>
      <c r="N18" s="2"/>
      <c r="O18" s="2"/>
      <c r="P18" s="2"/>
      <c r="Q18" s="2"/>
      <c r="R18" s="2"/>
      <c r="S18" s="2">
        <f t="shared" ref="S18:S82" si="4">O18</f>
        <v>0</v>
      </c>
      <c r="T18" s="2"/>
      <c r="U18" s="100"/>
      <c r="V18" s="2"/>
      <c r="W18" s="2"/>
      <c r="X18" s="2"/>
      <c r="Y18" s="100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139</v>
      </c>
      <c r="D19" s="2"/>
      <c r="E19" s="88"/>
      <c r="F19" s="2"/>
      <c r="G19" s="2"/>
      <c r="H19" s="2"/>
      <c r="I19" s="2">
        <f t="shared" si="3"/>
        <v>0</v>
      </c>
      <c r="J19" s="2"/>
      <c r="K19" s="100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100"/>
      <c r="V19" s="2"/>
      <c r="W19" s="2"/>
      <c r="X19" s="2"/>
      <c r="Y19" s="100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139</v>
      </c>
      <c r="D20" s="2">
        <f>D41</f>
        <v>916.42118844000004</v>
      </c>
      <c r="E20" s="88">
        <f>E41</f>
        <v>31.363634015999999</v>
      </c>
      <c r="F20" s="2"/>
      <c r="G20" s="2"/>
      <c r="H20" s="2"/>
      <c r="I20" s="2">
        <f t="shared" si="3"/>
        <v>31.363634015999999</v>
      </c>
      <c r="J20" s="2">
        <f>J41</f>
        <v>35.367075188000001</v>
      </c>
      <c r="K20" s="100">
        <f t="shared" ref="K20:N20" si="6">K41</f>
        <v>29.843781298</v>
      </c>
      <c r="L20" s="2">
        <f t="shared" si="6"/>
        <v>5.5232938900000006</v>
      </c>
      <c r="M20" s="2">
        <f t="shared" si="6"/>
        <v>0</v>
      </c>
      <c r="N20" s="2">
        <f t="shared" si="6"/>
        <v>0</v>
      </c>
      <c r="O20" s="2">
        <f>O41</f>
        <v>27.13636168</v>
      </c>
      <c r="P20" s="2"/>
      <c r="Q20" s="2"/>
      <c r="R20" s="2"/>
      <c r="S20" s="2">
        <f t="shared" si="4"/>
        <v>27.13636168</v>
      </c>
      <c r="T20" s="2">
        <f>T41</f>
        <v>31.039766350000008</v>
      </c>
      <c r="U20" s="100">
        <f t="shared" ref="U20:X20" si="7">U41</f>
        <v>26.164707760000006</v>
      </c>
      <c r="V20" s="2">
        <f t="shared" si="7"/>
        <v>4.8750585900000001</v>
      </c>
      <c r="W20" s="2">
        <f t="shared" si="7"/>
        <v>0</v>
      </c>
      <c r="X20" s="2">
        <f t="shared" si="7"/>
        <v>0</v>
      </c>
      <c r="Y20" s="100"/>
      <c r="Z20" s="2">
        <f>Z41</f>
        <v>-1.4494601279999999</v>
      </c>
      <c r="AA20" s="2">
        <f>J20-E20</f>
        <v>4.0034411720000023</v>
      </c>
      <c r="AB20" s="52">
        <f t="shared" si="2"/>
        <v>0.12764595996617187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139</v>
      </c>
      <c r="D21" s="2"/>
      <c r="E21" s="88"/>
      <c r="F21" s="2"/>
      <c r="G21" s="2"/>
      <c r="H21" s="2"/>
      <c r="I21" s="2">
        <f t="shared" si="3"/>
        <v>0</v>
      </c>
      <c r="J21" s="2"/>
      <c r="K21" s="100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100"/>
      <c r="V21" s="2"/>
      <c r="W21" s="2"/>
      <c r="X21" s="2"/>
      <c r="Y21" s="100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139</v>
      </c>
      <c r="D22" s="2">
        <f>D66</f>
        <v>5258.8289576723682</v>
      </c>
      <c r="E22" s="88">
        <f>E66</f>
        <v>2422.3513800299997</v>
      </c>
      <c r="F22" s="2"/>
      <c r="G22" s="2"/>
      <c r="H22" s="2"/>
      <c r="I22" s="2">
        <f t="shared" si="3"/>
        <v>2422.3513800299997</v>
      </c>
      <c r="J22" s="2">
        <f>J66</f>
        <v>391.024907778</v>
      </c>
      <c r="K22" s="100">
        <f t="shared" ref="K22:N22" si="8">K66</f>
        <v>46.700242278000005</v>
      </c>
      <c r="L22" s="2">
        <f t="shared" si="8"/>
        <v>344.32466549999998</v>
      </c>
      <c r="M22" s="2">
        <f t="shared" si="8"/>
        <v>0</v>
      </c>
      <c r="N22" s="2">
        <f t="shared" si="8"/>
        <v>0</v>
      </c>
      <c r="O22" s="2">
        <f>O66</f>
        <v>3588.1480157879332</v>
      </c>
      <c r="P22" s="2"/>
      <c r="Q22" s="2"/>
      <c r="R22" s="2"/>
      <c r="S22" s="2">
        <f t="shared" si="4"/>
        <v>3588.1480157879332</v>
      </c>
      <c r="T22" s="2">
        <f>T66</f>
        <v>652.20433039</v>
      </c>
      <c r="U22" s="100">
        <f t="shared" ref="U22:X22" si="9">U66</f>
        <v>102.43172956999999</v>
      </c>
      <c r="V22" s="2">
        <f t="shared" si="9"/>
        <v>549.77260081999998</v>
      </c>
      <c r="W22" s="2">
        <f t="shared" si="9"/>
        <v>0</v>
      </c>
      <c r="X22" s="2">
        <f t="shared" si="9"/>
        <v>0</v>
      </c>
      <c r="Y22" s="100">
        <f>Y25</f>
        <v>0</v>
      </c>
      <c r="Z22" s="2">
        <f>Z66</f>
        <v>2031.3264722519998</v>
      </c>
      <c r="AA22" s="2">
        <f t="shared" si="5"/>
        <v>-2031.3264722519998</v>
      </c>
      <c r="AB22" s="52">
        <f t="shared" si="2"/>
        <v>-0.83857630606293077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139</v>
      </c>
      <c r="D23" s="2"/>
      <c r="E23" s="88"/>
      <c r="F23" s="2"/>
      <c r="G23" s="2"/>
      <c r="H23" s="2"/>
      <c r="I23" s="2">
        <f t="shared" si="3"/>
        <v>0</v>
      </c>
      <c r="J23" s="2"/>
      <c r="K23" s="100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100"/>
      <c r="V23" s="2"/>
      <c r="W23" s="2"/>
      <c r="X23" s="2"/>
      <c r="Y23" s="100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139</v>
      </c>
      <c r="D24" s="2">
        <f>D75</f>
        <v>11.031771115308</v>
      </c>
      <c r="E24" s="88">
        <f>E75</f>
        <v>1.9533515843999998</v>
      </c>
      <c r="F24" s="2">
        <f t="shared" ref="F24:AA24" si="10">F75</f>
        <v>0</v>
      </c>
      <c r="G24" s="2">
        <f t="shared" si="10"/>
        <v>0</v>
      </c>
      <c r="H24" s="2">
        <f t="shared" si="10"/>
        <v>0</v>
      </c>
      <c r="I24" s="2">
        <f t="shared" si="3"/>
        <v>1.9533515843999998</v>
      </c>
      <c r="J24" s="2">
        <f t="shared" si="10"/>
        <v>36.790878061999997</v>
      </c>
      <c r="K24" s="100">
        <f t="shared" si="10"/>
        <v>32.029988862000003</v>
      </c>
      <c r="L24" s="2">
        <f t="shared" si="10"/>
        <v>4.7608892000000003</v>
      </c>
      <c r="M24" s="2">
        <f t="shared" si="10"/>
        <v>0</v>
      </c>
      <c r="N24" s="2">
        <f t="shared" si="10"/>
        <v>0</v>
      </c>
      <c r="O24" s="2">
        <f t="shared" si="10"/>
        <v>1.6277929869999999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1.6277929869999999</v>
      </c>
      <c r="T24" s="2">
        <f t="shared" si="10"/>
        <v>46.263349579999996</v>
      </c>
      <c r="U24" s="100">
        <f t="shared" si="10"/>
        <v>24.690726629999997</v>
      </c>
      <c r="V24" s="2">
        <f t="shared" si="10"/>
        <v>21.57262295</v>
      </c>
      <c r="W24" s="2">
        <f t="shared" si="10"/>
        <v>0</v>
      </c>
      <c r="X24" s="2">
        <f t="shared" si="10"/>
        <v>0</v>
      </c>
      <c r="Y24" s="100">
        <f t="shared" si="10"/>
        <v>0</v>
      </c>
      <c r="Z24" s="2">
        <f t="shared" si="10"/>
        <v>0.18327642999999993</v>
      </c>
      <c r="AA24" s="2">
        <f t="shared" si="10"/>
        <v>-0.18327642999999993</v>
      </c>
      <c r="AB24" s="52">
        <f t="shared" si="2"/>
        <v>-9.3826647216863387E-2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139</v>
      </c>
      <c r="D25" s="2">
        <f>D66+D75+D41</f>
        <v>6186.2819172276768</v>
      </c>
      <c r="E25" s="88">
        <f>E66+E75+E41</f>
        <v>2455.6683656303999</v>
      </c>
      <c r="F25" s="2"/>
      <c r="G25" s="2"/>
      <c r="H25" s="2"/>
      <c r="I25" s="2">
        <f t="shared" si="3"/>
        <v>2455.6683656303999</v>
      </c>
      <c r="J25" s="2">
        <f t="shared" ref="J25:O25" si="11">J66+J75+J41</f>
        <v>463.18286102799999</v>
      </c>
      <c r="K25" s="100">
        <f t="shared" si="11"/>
        <v>108.574012438</v>
      </c>
      <c r="L25" s="2">
        <f t="shared" si="11"/>
        <v>354.60884858999998</v>
      </c>
      <c r="M25" s="2">
        <f t="shared" si="11"/>
        <v>0</v>
      </c>
      <c r="N25" s="2">
        <f t="shared" si="11"/>
        <v>0</v>
      </c>
      <c r="O25" s="2">
        <f t="shared" si="11"/>
        <v>3616.9121704549329</v>
      </c>
      <c r="P25" s="2"/>
      <c r="Q25" s="2"/>
      <c r="R25" s="2"/>
      <c r="S25" s="2">
        <f t="shared" si="4"/>
        <v>3616.9121704549329</v>
      </c>
      <c r="T25" s="2">
        <f>T66+T75+T41</f>
        <v>729.50744631999999</v>
      </c>
      <c r="U25" s="100">
        <f>U66+U75+U41</f>
        <v>153.28716395999999</v>
      </c>
      <c r="V25" s="2">
        <f>V66+V75+V41</f>
        <v>576.22028235999994</v>
      </c>
      <c r="W25" s="2">
        <f>W66+W75+W41</f>
        <v>0</v>
      </c>
      <c r="X25" s="2">
        <f>X66+X75+X41</f>
        <v>0</v>
      </c>
      <c r="Y25" s="100">
        <f>Y66+Y75</f>
        <v>0</v>
      </c>
      <c r="Z25" s="2">
        <f>Z66+Z75+Z41</f>
        <v>2030.0602885539997</v>
      </c>
      <c r="AA25" s="2">
        <f t="shared" si="5"/>
        <v>-1992.4855046023999</v>
      </c>
      <c r="AB25" s="52">
        <f t="shared" si="2"/>
        <v>-0.81138216075479908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139</v>
      </c>
      <c r="D26" s="3"/>
      <c r="E26" s="89"/>
      <c r="F26" s="3"/>
      <c r="G26" s="3"/>
      <c r="H26" s="3"/>
      <c r="I26" s="2">
        <f t="shared" si="3"/>
        <v>0</v>
      </c>
      <c r="J26" s="3"/>
      <c r="K26" s="101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101"/>
      <c r="V26" s="3"/>
      <c r="W26" s="3"/>
      <c r="X26" s="3"/>
      <c r="Y26" s="101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139</v>
      </c>
      <c r="D27" s="3"/>
      <c r="E27" s="89"/>
      <c r="F27" s="3"/>
      <c r="G27" s="3"/>
      <c r="H27" s="3"/>
      <c r="I27" s="2">
        <f t="shared" si="3"/>
        <v>0</v>
      </c>
      <c r="J27" s="3"/>
      <c r="K27" s="101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101"/>
      <c r="V27" s="3"/>
      <c r="W27" s="3"/>
      <c r="X27" s="3"/>
      <c r="Y27" s="101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139</v>
      </c>
      <c r="D28" s="3"/>
      <c r="E28" s="89"/>
      <c r="F28" s="3"/>
      <c r="G28" s="3"/>
      <c r="H28" s="3"/>
      <c r="I28" s="2">
        <f t="shared" si="3"/>
        <v>0</v>
      </c>
      <c r="J28" s="3"/>
      <c r="K28" s="101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101"/>
      <c r="V28" s="3"/>
      <c r="W28" s="3"/>
      <c r="X28" s="3"/>
      <c r="Y28" s="101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139</v>
      </c>
      <c r="D29" s="3"/>
      <c r="E29" s="89"/>
      <c r="F29" s="3"/>
      <c r="G29" s="3"/>
      <c r="H29" s="3"/>
      <c r="I29" s="2">
        <f t="shared" si="3"/>
        <v>0</v>
      </c>
      <c r="J29" s="3"/>
      <c r="K29" s="101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101"/>
      <c r="V29" s="3"/>
      <c r="W29" s="3"/>
      <c r="X29" s="3"/>
      <c r="Y29" s="101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139</v>
      </c>
      <c r="D30" s="3"/>
      <c r="E30" s="89"/>
      <c r="F30" s="3"/>
      <c r="G30" s="3"/>
      <c r="H30" s="3"/>
      <c r="I30" s="2">
        <f t="shared" si="3"/>
        <v>0</v>
      </c>
      <c r="J30" s="3"/>
      <c r="K30" s="101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101"/>
      <c r="V30" s="3"/>
      <c r="W30" s="3"/>
      <c r="X30" s="3"/>
      <c r="Y30" s="101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139</v>
      </c>
      <c r="D31" s="3"/>
      <c r="E31" s="89"/>
      <c r="F31" s="3"/>
      <c r="G31" s="3"/>
      <c r="H31" s="3"/>
      <c r="I31" s="2">
        <f t="shared" si="3"/>
        <v>0</v>
      </c>
      <c r="J31" s="3"/>
      <c r="K31" s="101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101"/>
      <c r="V31" s="3"/>
      <c r="W31" s="3"/>
      <c r="X31" s="3"/>
      <c r="Y31" s="101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139</v>
      </c>
      <c r="D32" s="3"/>
      <c r="E32" s="89"/>
      <c r="F32" s="3"/>
      <c r="G32" s="3"/>
      <c r="H32" s="3"/>
      <c r="I32" s="2">
        <f t="shared" si="3"/>
        <v>0</v>
      </c>
      <c r="J32" s="3"/>
      <c r="K32" s="101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101"/>
      <c r="V32" s="3"/>
      <c r="W32" s="3"/>
      <c r="X32" s="3"/>
      <c r="Y32" s="101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139</v>
      </c>
      <c r="D33" s="3"/>
      <c r="E33" s="89"/>
      <c r="F33" s="3"/>
      <c r="G33" s="3"/>
      <c r="H33" s="3"/>
      <c r="I33" s="2">
        <f t="shared" si="3"/>
        <v>0</v>
      </c>
      <c r="J33" s="3"/>
      <c r="K33" s="101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101"/>
      <c r="V33" s="3"/>
      <c r="W33" s="3"/>
      <c r="X33" s="3"/>
      <c r="Y33" s="101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139</v>
      </c>
      <c r="D34" s="2"/>
      <c r="E34" s="88"/>
      <c r="F34" s="2"/>
      <c r="G34" s="2"/>
      <c r="H34" s="2"/>
      <c r="I34" s="2">
        <f t="shared" si="3"/>
        <v>0</v>
      </c>
      <c r="J34" s="2"/>
      <c r="K34" s="100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100"/>
      <c r="V34" s="2"/>
      <c r="W34" s="2"/>
      <c r="X34" s="2"/>
      <c r="Y34" s="100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139</v>
      </c>
      <c r="D35" s="3"/>
      <c r="E35" s="89"/>
      <c r="F35" s="3"/>
      <c r="G35" s="3"/>
      <c r="H35" s="3"/>
      <c r="I35" s="2">
        <f t="shared" si="3"/>
        <v>0</v>
      </c>
      <c r="J35" s="3"/>
      <c r="K35" s="101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101"/>
      <c r="V35" s="3"/>
      <c r="W35" s="3"/>
      <c r="X35" s="3"/>
      <c r="Y35" s="101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139</v>
      </c>
      <c r="D36" s="3"/>
      <c r="E36" s="89"/>
      <c r="F36" s="3"/>
      <c r="G36" s="3"/>
      <c r="H36" s="3"/>
      <c r="I36" s="2">
        <f t="shared" si="3"/>
        <v>0</v>
      </c>
      <c r="J36" s="3"/>
      <c r="K36" s="101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101"/>
      <c r="V36" s="3"/>
      <c r="W36" s="3"/>
      <c r="X36" s="3"/>
      <c r="Y36" s="101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139</v>
      </c>
      <c r="D37" s="2"/>
      <c r="E37" s="88"/>
      <c r="F37" s="2"/>
      <c r="G37" s="2"/>
      <c r="H37" s="2"/>
      <c r="I37" s="2">
        <f t="shared" si="3"/>
        <v>0</v>
      </c>
      <c r="J37" s="2"/>
      <c r="K37" s="100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100"/>
      <c r="V37" s="2"/>
      <c r="W37" s="2"/>
      <c r="X37" s="2"/>
      <c r="Y37" s="100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139</v>
      </c>
      <c r="D38" s="3"/>
      <c r="E38" s="89"/>
      <c r="F38" s="3"/>
      <c r="G38" s="3"/>
      <c r="H38" s="3"/>
      <c r="I38" s="2">
        <f t="shared" si="3"/>
        <v>0</v>
      </c>
      <c r="J38" s="3"/>
      <c r="K38" s="101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101"/>
      <c r="V38" s="3"/>
      <c r="W38" s="3"/>
      <c r="X38" s="3"/>
      <c r="Y38" s="101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139</v>
      </c>
      <c r="D39" s="3"/>
      <c r="E39" s="89"/>
      <c r="F39" s="3"/>
      <c r="G39" s="3"/>
      <c r="H39" s="3"/>
      <c r="I39" s="2">
        <f t="shared" si="3"/>
        <v>0</v>
      </c>
      <c r="J39" s="3"/>
      <c r="K39" s="101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101"/>
      <c r="V39" s="3"/>
      <c r="W39" s="3"/>
      <c r="X39" s="3"/>
      <c r="Y39" s="101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139</v>
      </c>
      <c r="D40" s="3"/>
      <c r="E40" s="89"/>
      <c r="F40" s="3"/>
      <c r="G40" s="3"/>
      <c r="H40" s="3"/>
      <c r="I40" s="2">
        <f t="shared" si="3"/>
        <v>0</v>
      </c>
      <c r="J40" s="3"/>
      <c r="K40" s="101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101"/>
      <c r="V40" s="3"/>
      <c r="W40" s="3"/>
      <c r="X40" s="3"/>
      <c r="Y40" s="101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139</v>
      </c>
      <c r="D41" s="2">
        <f>D42+D57</f>
        <v>916.42118844000004</v>
      </c>
      <c r="E41" s="88">
        <f>E42+E57</f>
        <v>31.363634015999999</v>
      </c>
      <c r="F41" s="2"/>
      <c r="G41" s="2"/>
      <c r="H41" s="2"/>
      <c r="I41" s="2">
        <f t="shared" si="3"/>
        <v>31.363634015999999</v>
      </c>
      <c r="J41" s="2">
        <f t="shared" ref="J41:O41" si="12">J42+J57</f>
        <v>35.367075188000001</v>
      </c>
      <c r="K41" s="100">
        <f t="shared" si="12"/>
        <v>29.843781298</v>
      </c>
      <c r="L41" s="2">
        <f t="shared" si="12"/>
        <v>5.5232938900000006</v>
      </c>
      <c r="M41" s="2">
        <f t="shared" si="12"/>
        <v>0</v>
      </c>
      <c r="N41" s="2">
        <f t="shared" si="12"/>
        <v>0</v>
      </c>
      <c r="O41" s="2">
        <f t="shared" si="12"/>
        <v>27.13636168</v>
      </c>
      <c r="P41" s="2"/>
      <c r="Q41" s="2"/>
      <c r="R41" s="2"/>
      <c r="S41" s="2">
        <f t="shared" si="4"/>
        <v>27.13636168</v>
      </c>
      <c r="T41" s="2">
        <f t="shared" ref="T41:Z41" si="13">T42+T57</f>
        <v>31.039766350000008</v>
      </c>
      <c r="U41" s="100">
        <f t="shared" si="13"/>
        <v>26.164707760000006</v>
      </c>
      <c r="V41" s="2">
        <f t="shared" si="13"/>
        <v>4.8750585900000001</v>
      </c>
      <c r="W41" s="2">
        <f t="shared" si="13"/>
        <v>0</v>
      </c>
      <c r="X41" s="2">
        <f t="shared" si="13"/>
        <v>0</v>
      </c>
      <c r="Y41" s="100">
        <f t="shared" si="13"/>
        <v>0</v>
      </c>
      <c r="Z41" s="2">
        <f t="shared" si="13"/>
        <v>-1.4494601279999999</v>
      </c>
      <c r="AA41" s="2">
        <f t="shared" si="5"/>
        <v>4.0034411720000023</v>
      </c>
      <c r="AB41" s="52">
        <f t="shared" si="2"/>
        <v>0.12764595996617187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139</v>
      </c>
      <c r="D42" s="2">
        <f t="shared" ref="D42" si="14">SUM(D43:D53)</f>
        <v>916.42118844000004</v>
      </c>
      <c r="E42" s="2">
        <f t="shared" ref="E42:Z42" si="15">SUM(E43:E53)</f>
        <v>31.363634015999999</v>
      </c>
      <c r="F42" s="2">
        <f t="shared" si="15"/>
        <v>0</v>
      </c>
      <c r="G42" s="2">
        <f t="shared" si="15"/>
        <v>0</v>
      </c>
      <c r="H42" s="2">
        <f t="shared" si="15"/>
        <v>0</v>
      </c>
      <c r="I42" s="2">
        <f t="shared" si="3"/>
        <v>31.363634015999999</v>
      </c>
      <c r="J42" s="2">
        <f t="shared" si="15"/>
        <v>33.387668357999999</v>
      </c>
      <c r="K42" s="100">
        <f t="shared" si="15"/>
        <v>27.963344817999999</v>
      </c>
      <c r="L42" s="2">
        <f t="shared" si="15"/>
        <v>5.4243235400000005</v>
      </c>
      <c r="M42" s="2">
        <f t="shared" si="15"/>
        <v>0</v>
      </c>
      <c r="N42" s="2">
        <f t="shared" si="15"/>
        <v>0</v>
      </c>
      <c r="O42" s="2">
        <f t="shared" si="15"/>
        <v>26.13636168</v>
      </c>
      <c r="P42" s="2">
        <f t="shared" si="15"/>
        <v>0</v>
      </c>
      <c r="Q42" s="2">
        <f t="shared" si="15"/>
        <v>0</v>
      </c>
      <c r="R42" s="2">
        <f t="shared" si="15"/>
        <v>0</v>
      </c>
      <c r="S42" s="2">
        <f t="shared" si="4"/>
        <v>26.13636168</v>
      </c>
      <c r="T42" s="2">
        <f t="shared" si="15"/>
        <v>29.390260660000006</v>
      </c>
      <c r="U42" s="100">
        <f t="shared" si="15"/>
        <v>24.515202070000004</v>
      </c>
      <c r="V42" s="2">
        <f t="shared" si="15"/>
        <v>4.8750585900000001</v>
      </c>
      <c r="W42" s="2">
        <f t="shared" si="15"/>
        <v>0</v>
      </c>
      <c r="X42" s="2">
        <f t="shared" si="15"/>
        <v>0</v>
      </c>
      <c r="Y42" s="2">
        <f t="shared" si="15"/>
        <v>0</v>
      </c>
      <c r="Z42" s="2">
        <f t="shared" si="15"/>
        <v>-1.4494601279999999</v>
      </c>
      <c r="AA42" s="2">
        <f>SUM(AA43:AA51)</f>
        <v>1.4494601279999999</v>
      </c>
      <c r="AB42" s="52">
        <f t="shared" si="2"/>
        <v>4.6214674207094915E-2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ht="31.5" x14ac:dyDescent="0.25">
      <c r="A43" s="38" t="s">
        <v>160</v>
      </c>
      <c r="B43" s="70" t="s">
        <v>149</v>
      </c>
      <c r="C43" s="71" t="s">
        <v>150</v>
      </c>
      <c r="D43" s="3">
        <v>0</v>
      </c>
      <c r="E43" s="89">
        <v>0</v>
      </c>
      <c r="F43" s="3"/>
      <c r="G43" s="3"/>
      <c r="H43" s="3"/>
      <c r="I43" s="2">
        <f t="shared" si="3"/>
        <v>0</v>
      </c>
      <c r="J43" s="3">
        <f t="shared" ref="J43:J53" si="16">K43+L43+M43+N43</f>
        <v>0</v>
      </c>
      <c r="K43" s="101"/>
      <c r="L43" s="3"/>
      <c r="M43" s="3"/>
      <c r="N43" s="3"/>
      <c r="O43" s="3">
        <v>0</v>
      </c>
      <c r="P43" s="3"/>
      <c r="Q43" s="3"/>
      <c r="R43" s="3"/>
      <c r="S43" s="2">
        <f t="shared" si="4"/>
        <v>0</v>
      </c>
      <c r="T43" s="3">
        <f t="shared" ref="T43:T58" si="17">U43+V43+W43+X43</f>
        <v>0</v>
      </c>
      <c r="U43" s="101"/>
      <c r="V43" s="3"/>
      <c r="W43" s="3"/>
      <c r="X43" s="3"/>
      <c r="Y43" s="101"/>
      <c r="Z43" s="2">
        <f t="shared" ref="Z43:Z51" si="18">E43-J43</f>
        <v>0</v>
      </c>
      <c r="AA43" s="2">
        <f t="shared" ref="AA43:AA51" si="19">J43-E43</f>
        <v>0</v>
      </c>
      <c r="AB43" s="52" t="e">
        <f t="shared" si="2"/>
        <v>#DIV/0!</v>
      </c>
      <c r="AC43" s="3"/>
      <c r="AD43" s="3"/>
      <c r="AE43" s="72"/>
    </row>
    <row r="44" spans="1:132" ht="31.5" x14ac:dyDescent="0.25">
      <c r="A44" s="38" t="s">
        <v>161</v>
      </c>
      <c r="B44" s="70" t="s">
        <v>151</v>
      </c>
      <c r="C44" s="71" t="s">
        <v>152</v>
      </c>
      <c r="D44" s="3">
        <v>0</v>
      </c>
      <c r="E44" s="89">
        <v>0</v>
      </c>
      <c r="F44" s="3"/>
      <c r="G44" s="3"/>
      <c r="H44" s="3"/>
      <c r="I44" s="2">
        <f t="shared" si="3"/>
        <v>0</v>
      </c>
      <c r="J44" s="3">
        <f t="shared" si="16"/>
        <v>0</v>
      </c>
      <c r="K44" s="101"/>
      <c r="L44" s="3"/>
      <c r="M44" s="3"/>
      <c r="N44" s="3"/>
      <c r="O44" s="3">
        <v>0</v>
      </c>
      <c r="P44" s="3"/>
      <c r="Q44" s="3"/>
      <c r="R44" s="3"/>
      <c r="S44" s="2">
        <f t="shared" si="4"/>
        <v>0</v>
      </c>
      <c r="T44" s="3">
        <f t="shared" si="17"/>
        <v>0</v>
      </c>
      <c r="U44" s="101"/>
      <c r="V44" s="3"/>
      <c r="W44" s="3"/>
      <c r="X44" s="3"/>
      <c r="Y44" s="101"/>
      <c r="Z44" s="2">
        <f t="shared" si="18"/>
        <v>0</v>
      </c>
      <c r="AA44" s="2">
        <f t="shared" si="19"/>
        <v>0</v>
      </c>
      <c r="AB44" s="52" t="e">
        <f t="shared" si="2"/>
        <v>#DIV/0!</v>
      </c>
      <c r="AC44" s="3"/>
      <c r="AD44" s="3"/>
      <c r="AE44" s="2"/>
    </row>
    <row r="45" spans="1:132" ht="31.5" x14ac:dyDescent="0.25">
      <c r="A45" s="38" t="s">
        <v>162</v>
      </c>
      <c r="B45" s="72" t="s">
        <v>118</v>
      </c>
      <c r="C45" s="41" t="s">
        <v>128</v>
      </c>
      <c r="D45" s="3">
        <v>0</v>
      </c>
      <c r="E45" s="89">
        <v>0</v>
      </c>
      <c r="F45" s="3"/>
      <c r="G45" s="3"/>
      <c r="H45" s="3"/>
      <c r="I45" s="2">
        <f t="shared" si="3"/>
        <v>0</v>
      </c>
      <c r="J45" s="3">
        <f t="shared" si="16"/>
        <v>0</v>
      </c>
      <c r="K45" s="101"/>
      <c r="L45" s="3"/>
      <c r="M45" s="3"/>
      <c r="N45" s="3"/>
      <c r="O45" s="3">
        <v>0</v>
      </c>
      <c r="P45" s="3"/>
      <c r="Q45" s="3"/>
      <c r="R45" s="3"/>
      <c r="S45" s="2">
        <f t="shared" si="4"/>
        <v>0</v>
      </c>
      <c r="T45" s="3">
        <f t="shared" si="17"/>
        <v>0</v>
      </c>
      <c r="U45" s="101"/>
      <c r="V45" s="3"/>
      <c r="W45" s="3"/>
      <c r="X45" s="3"/>
      <c r="Y45" s="101"/>
      <c r="Z45" s="2">
        <f t="shared" si="18"/>
        <v>0</v>
      </c>
      <c r="AA45" s="2">
        <f t="shared" si="19"/>
        <v>0</v>
      </c>
      <c r="AB45" s="52" t="e">
        <f t="shared" si="2"/>
        <v>#DIV/0!</v>
      </c>
      <c r="AC45" s="3"/>
      <c r="AD45" s="3"/>
      <c r="AE45" s="2"/>
    </row>
    <row r="46" spans="1:132" s="69" customFormat="1" ht="31.5" x14ac:dyDescent="0.25">
      <c r="A46" s="38" t="s">
        <v>163</v>
      </c>
      <c r="B46" s="72" t="s">
        <v>129</v>
      </c>
      <c r="C46" s="41" t="s">
        <v>130</v>
      </c>
      <c r="D46" s="3">
        <v>0</v>
      </c>
      <c r="E46" s="89">
        <v>0</v>
      </c>
      <c r="F46" s="3"/>
      <c r="G46" s="3"/>
      <c r="H46" s="3"/>
      <c r="I46" s="2">
        <f t="shared" si="3"/>
        <v>0</v>
      </c>
      <c r="J46" s="3">
        <f t="shared" si="16"/>
        <v>0</v>
      </c>
      <c r="K46" s="101"/>
      <c r="L46" s="3"/>
      <c r="M46" s="3"/>
      <c r="N46" s="3"/>
      <c r="O46" s="3">
        <v>0</v>
      </c>
      <c r="P46" s="3"/>
      <c r="Q46" s="3"/>
      <c r="R46" s="3"/>
      <c r="S46" s="2">
        <f t="shared" si="4"/>
        <v>0</v>
      </c>
      <c r="T46" s="3">
        <f t="shared" si="17"/>
        <v>0</v>
      </c>
      <c r="U46" s="101"/>
      <c r="V46" s="3"/>
      <c r="W46" s="3"/>
      <c r="X46" s="3"/>
      <c r="Y46" s="101"/>
      <c r="Z46" s="2">
        <f t="shared" si="18"/>
        <v>0</v>
      </c>
      <c r="AA46" s="2">
        <f t="shared" si="19"/>
        <v>0</v>
      </c>
      <c r="AB46" s="52" t="e">
        <f t="shared" si="2"/>
        <v>#DIV/0!</v>
      </c>
      <c r="AC46" s="3"/>
      <c r="AD46" s="3"/>
      <c r="AE46" s="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</row>
    <row r="47" spans="1:132" ht="31.5" x14ac:dyDescent="0.25">
      <c r="A47" s="38" t="s">
        <v>164</v>
      </c>
      <c r="B47" s="72" t="s">
        <v>119</v>
      </c>
      <c r="C47" s="41" t="s">
        <v>131</v>
      </c>
      <c r="D47" s="3">
        <v>0</v>
      </c>
      <c r="E47" s="89">
        <v>0</v>
      </c>
      <c r="F47" s="3"/>
      <c r="G47" s="3"/>
      <c r="H47" s="3"/>
      <c r="I47" s="2">
        <f t="shared" si="3"/>
        <v>0</v>
      </c>
      <c r="J47" s="3">
        <f t="shared" si="16"/>
        <v>0</v>
      </c>
      <c r="K47" s="101"/>
      <c r="L47" s="3"/>
      <c r="M47" s="3"/>
      <c r="N47" s="3"/>
      <c r="O47" s="3">
        <v>0</v>
      </c>
      <c r="P47" s="3"/>
      <c r="Q47" s="3"/>
      <c r="R47" s="3"/>
      <c r="S47" s="2">
        <f t="shared" si="4"/>
        <v>0</v>
      </c>
      <c r="T47" s="3">
        <f t="shared" si="17"/>
        <v>0</v>
      </c>
      <c r="U47" s="101"/>
      <c r="V47" s="3"/>
      <c r="W47" s="3"/>
      <c r="X47" s="3"/>
      <c r="Y47" s="101"/>
      <c r="Z47" s="2">
        <f t="shared" si="18"/>
        <v>0</v>
      </c>
      <c r="AA47" s="2">
        <f t="shared" si="19"/>
        <v>0</v>
      </c>
      <c r="AB47" s="52" t="e">
        <f t="shared" si="2"/>
        <v>#DIV/0!</v>
      </c>
      <c r="AC47" s="3"/>
      <c r="AD47" s="3"/>
      <c r="AE47" s="2"/>
    </row>
    <row r="48" spans="1:132" ht="31.5" x14ac:dyDescent="0.25">
      <c r="A48" s="38" t="s">
        <v>165</v>
      </c>
      <c r="B48" s="72" t="s">
        <v>153</v>
      </c>
      <c r="C48" s="41" t="s">
        <v>154</v>
      </c>
      <c r="D48" s="3">
        <v>0</v>
      </c>
      <c r="E48" s="89">
        <v>0</v>
      </c>
      <c r="F48" s="3"/>
      <c r="G48" s="3"/>
      <c r="H48" s="3"/>
      <c r="I48" s="2">
        <f t="shared" si="3"/>
        <v>0</v>
      </c>
      <c r="J48" s="3">
        <f t="shared" si="16"/>
        <v>0</v>
      </c>
      <c r="K48" s="101"/>
      <c r="L48" s="3"/>
      <c r="M48" s="3"/>
      <c r="N48" s="3"/>
      <c r="O48" s="3">
        <v>0</v>
      </c>
      <c r="P48" s="3"/>
      <c r="Q48" s="3"/>
      <c r="R48" s="3"/>
      <c r="S48" s="2">
        <f t="shared" si="4"/>
        <v>0</v>
      </c>
      <c r="T48" s="3">
        <f t="shared" si="17"/>
        <v>0</v>
      </c>
      <c r="U48" s="101"/>
      <c r="V48" s="3"/>
      <c r="W48" s="3"/>
      <c r="X48" s="3"/>
      <c r="Y48" s="101"/>
      <c r="Z48" s="2">
        <f t="shared" si="18"/>
        <v>0</v>
      </c>
      <c r="AA48" s="2">
        <f t="shared" si="19"/>
        <v>0</v>
      </c>
      <c r="AB48" s="52" t="e">
        <f t="shared" si="2"/>
        <v>#DIV/0!</v>
      </c>
      <c r="AC48" s="3"/>
      <c r="AD48" s="3"/>
      <c r="AE48" s="73"/>
    </row>
    <row r="49" spans="1:132" s="69" customFormat="1" ht="15.75" x14ac:dyDescent="0.25">
      <c r="A49" s="38" t="s">
        <v>166</v>
      </c>
      <c r="B49" s="72" t="s">
        <v>155</v>
      </c>
      <c r="C49" s="41" t="s">
        <v>132</v>
      </c>
      <c r="D49" s="3">
        <v>0</v>
      </c>
      <c r="E49" s="89">
        <v>0</v>
      </c>
      <c r="F49" s="3"/>
      <c r="G49" s="3"/>
      <c r="H49" s="3"/>
      <c r="I49" s="2">
        <f t="shared" si="3"/>
        <v>0</v>
      </c>
      <c r="J49" s="3">
        <f t="shared" si="16"/>
        <v>1.4494601279999999</v>
      </c>
      <c r="K49" s="101">
        <f>214474.248/1000000</f>
        <v>0.21447424799999998</v>
      </c>
      <c r="L49" s="3">
        <v>1.23498588</v>
      </c>
      <c r="M49" s="3"/>
      <c r="N49" s="3"/>
      <c r="O49" s="3">
        <v>0</v>
      </c>
      <c r="P49" s="3"/>
      <c r="Q49" s="3"/>
      <c r="R49" s="3"/>
      <c r="S49" s="2">
        <f t="shared" si="4"/>
        <v>0</v>
      </c>
      <c r="T49" s="3">
        <f t="shared" si="17"/>
        <v>0.9685144200000001</v>
      </c>
      <c r="U49" s="101">
        <f>178728.54/1000000</f>
        <v>0.17872854000000002</v>
      </c>
      <c r="V49" s="3">
        <v>0.78978588000000005</v>
      </c>
      <c r="W49" s="3"/>
      <c r="X49" s="3"/>
      <c r="Y49" s="101"/>
      <c r="Z49" s="2">
        <f t="shared" si="18"/>
        <v>-1.4494601279999999</v>
      </c>
      <c r="AA49" s="2">
        <f t="shared" si="19"/>
        <v>1.4494601279999999</v>
      </c>
      <c r="AB49" s="52" t="e">
        <f t="shared" si="2"/>
        <v>#DIV/0!</v>
      </c>
      <c r="AC49" s="3"/>
      <c r="AD49" s="3"/>
      <c r="AE49" s="3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</row>
    <row r="50" spans="1:132" s="69" customFormat="1" ht="31.5" x14ac:dyDescent="0.25">
      <c r="A50" s="38" t="s">
        <v>167</v>
      </c>
      <c r="B50" s="72" t="s">
        <v>156</v>
      </c>
      <c r="C50" s="41" t="s">
        <v>157</v>
      </c>
      <c r="D50" s="3">
        <v>0</v>
      </c>
      <c r="E50" s="89">
        <v>0</v>
      </c>
      <c r="F50" s="3"/>
      <c r="G50" s="3"/>
      <c r="H50" s="3"/>
      <c r="I50" s="2">
        <f t="shared" si="3"/>
        <v>0</v>
      </c>
      <c r="J50" s="3">
        <f t="shared" si="16"/>
        <v>0</v>
      </c>
      <c r="K50" s="101"/>
      <c r="L50" s="3"/>
      <c r="M50" s="3"/>
      <c r="N50" s="3"/>
      <c r="O50" s="3">
        <v>0</v>
      </c>
      <c r="P50" s="3"/>
      <c r="Q50" s="3"/>
      <c r="R50" s="3"/>
      <c r="S50" s="2">
        <f t="shared" si="4"/>
        <v>0</v>
      </c>
      <c r="T50" s="3">
        <f t="shared" si="17"/>
        <v>0</v>
      </c>
      <c r="U50" s="101"/>
      <c r="V50" s="3"/>
      <c r="W50" s="3"/>
      <c r="X50" s="3"/>
      <c r="Y50" s="101"/>
      <c r="Z50" s="2">
        <f t="shared" si="18"/>
        <v>0</v>
      </c>
      <c r="AA50" s="2">
        <f>J50-E50</f>
        <v>0</v>
      </c>
      <c r="AB50" s="52" t="e">
        <f t="shared" si="2"/>
        <v>#DIV/0!</v>
      </c>
      <c r="AC50" s="3"/>
      <c r="AD50" s="3"/>
      <c r="AE50" s="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31.5" x14ac:dyDescent="0.25">
      <c r="A51" s="38" t="s">
        <v>168</v>
      </c>
      <c r="B51" s="72" t="s">
        <v>158</v>
      </c>
      <c r="C51" s="41" t="s">
        <v>159</v>
      </c>
      <c r="D51" s="3">
        <v>0</v>
      </c>
      <c r="E51" s="89">
        <v>0</v>
      </c>
      <c r="F51" s="2"/>
      <c r="G51" s="2"/>
      <c r="H51" s="2"/>
      <c r="I51" s="2">
        <f t="shared" si="3"/>
        <v>0</v>
      </c>
      <c r="J51" s="3">
        <f t="shared" si="16"/>
        <v>0</v>
      </c>
      <c r="K51" s="101"/>
      <c r="L51" s="3"/>
      <c r="M51" s="3"/>
      <c r="N51" s="3"/>
      <c r="O51" s="3">
        <v>0</v>
      </c>
      <c r="P51" s="3"/>
      <c r="Q51" s="3"/>
      <c r="R51" s="3"/>
      <c r="S51" s="2">
        <f t="shared" si="4"/>
        <v>0</v>
      </c>
      <c r="T51" s="3">
        <f t="shared" si="17"/>
        <v>0</v>
      </c>
      <c r="U51" s="100"/>
      <c r="V51" s="2"/>
      <c r="W51" s="2"/>
      <c r="X51" s="3"/>
      <c r="Y51" s="101"/>
      <c r="Z51" s="2">
        <f t="shared" si="18"/>
        <v>0</v>
      </c>
      <c r="AA51" s="2">
        <f t="shared" si="19"/>
        <v>0</v>
      </c>
      <c r="AB51" s="52" t="e">
        <f t="shared" si="2"/>
        <v>#DIV/0!</v>
      </c>
      <c r="AC51" s="3"/>
      <c r="AD51" s="3"/>
      <c r="AE51" s="2"/>
    </row>
    <row r="52" spans="1:132" ht="15.75" x14ac:dyDescent="0.25">
      <c r="A52" s="38" t="s">
        <v>169</v>
      </c>
      <c r="B52" s="72" t="s">
        <v>201</v>
      </c>
      <c r="C52" s="41" t="s">
        <v>202</v>
      </c>
      <c r="D52" s="3">
        <v>171.089745612</v>
      </c>
      <c r="E52" s="89">
        <v>31.363634015999999</v>
      </c>
      <c r="F52" s="2"/>
      <c r="G52" s="2"/>
      <c r="H52" s="2"/>
      <c r="I52" s="2">
        <f t="shared" si="3"/>
        <v>31.363634015999999</v>
      </c>
      <c r="J52" s="3">
        <f t="shared" si="16"/>
        <v>31.938208230000001</v>
      </c>
      <c r="K52" s="101">
        <f>27748870.57/1000000</f>
        <v>27.748870570000001</v>
      </c>
      <c r="L52" s="3">
        <v>4.1893376600000005</v>
      </c>
      <c r="M52" s="3"/>
      <c r="N52" s="3"/>
      <c r="O52" s="3">
        <v>26.13636168</v>
      </c>
      <c r="P52" s="3"/>
      <c r="Q52" s="3"/>
      <c r="R52" s="3"/>
      <c r="S52" s="2">
        <f t="shared" si="4"/>
        <v>26.13636168</v>
      </c>
      <c r="T52" s="3">
        <f t="shared" si="17"/>
        <v>28.421746240000004</v>
      </c>
      <c r="U52" s="101">
        <f>24336473.53/1000000</f>
        <v>24.336473530000003</v>
      </c>
      <c r="V52" s="3">
        <v>4.0852727099999999</v>
      </c>
      <c r="W52" s="2"/>
      <c r="X52" s="3"/>
      <c r="Y52" s="100"/>
      <c r="Z52" s="2"/>
      <c r="AA52" s="2"/>
      <c r="AB52" s="52">
        <f t="shared" si="2"/>
        <v>0</v>
      </c>
      <c r="AC52" s="3"/>
      <c r="AD52" s="3"/>
      <c r="AE52" s="2"/>
    </row>
    <row r="53" spans="1:132" ht="31.5" x14ac:dyDescent="0.25">
      <c r="A53" s="38" t="s">
        <v>203</v>
      </c>
      <c r="B53" s="72" t="s">
        <v>204</v>
      </c>
      <c r="C53" s="41" t="s">
        <v>205</v>
      </c>
      <c r="D53" s="3">
        <v>745.33144282800004</v>
      </c>
      <c r="E53" s="88">
        <v>0</v>
      </c>
      <c r="F53" s="2"/>
      <c r="G53" s="2"/>
      <c r="H53" s="2"/>
      <c r="I53" s="2">
        <f t="shared" si="3"/>
        <v>0</v>
      </c>
      <c r="J53" s="3">
        <f t="shared" si="16"/>
        <v>0</v>
      </c>
      <c r="K53" s="101"/>
      <c r="L53" s="3"/>
      <c r="M53" s="3"/>
      <c r="N53" s="3"/>
      <c r="O53" s="3">
        <v>0</v>
      </c>
      <c r="P53" s="3"/>
      <c r="Q53" s="3"/>
      <c r="R53" s="3"/>
      <c r="S53" s="2">
        <f t="shared" si="4"/>
        <v>0</v>
      </c>
      <c r="T53" s="3">
        <f t="shared" si="17"/>
        <v>0</v>
      </c>
      <c r="U53" s="100"/>
      <c r="V53" s="2"/>
      <c r="W53" s="2"/>
      <c r="X53" s="2"/>
      <c r="Y53" s="100"/>
      <c r="Z53" s="2"/>
      <c r="AA53" s="2"/>
      <c r="AB53" s="52" t="e">
        <f t="shared" si="2"/>
        <v>#DIV/0!</v>
      </c>
      <c r="AC53" s="2"/>
      <c r="AD53" s="2"/>
      <c r="AE53" s="3"/>
    </row>
    <row r="54" spans="1:132" ht="15.75" hidden="1" x14ac:dyDescent="0.25">
      <c r="A54" s="38"/>
      <c r="B54" s="72"/>
      <c r="C54" s="41"/>
      <c r="D54" s="3">
        <v>0</v>
      </c>
      <c r="E54" s="89"/>
      <c r="F54" s="3"/>
      <c r="G54" s="3"/>
      <c r="H54" s="3"/>
      <c r="I54" s="2">
        <f t="shared" si="3"/>
        <v>0</v>
      </c>
      <c r="J54" s="3"/>
      <c r="K54" s="101"/>
      <c r="L54" s="3"/>
      <c r="M54" s="3"/>
      <c r="N54" s="3"/>
      <c r="O54" s="3"/>
      <c r="P54" s="3"/>
      <c r="Q54" s="3"/>
      <c r="R54" s="3"/>
      <c r="S54" s="2">
        <f t="shared" si="4"/>
        <v>0</v>
      </c>
      <c r="T54" s="3">
        <f t="shared" si="17"/>
        <v>0</v>
      </c>
      <c r="U54" s="101"/>
      <c r="V54" s="3"/>
      <c r="W54" s="3"/>
      <c r="X54" s="3"/>
      <c r="Y54" s="101"/>
      <c r="Z54" s="2"/>
      <c r="AA54" s="2"/>
      <c r="AB54" s="52" t="e">
        <f t="shared" si="2"/>
        <v>#DIV/0!</v>
      </c>
      <c r="AC54" s="3"/>
      <c r="AD54" s="3"/>
      <c r="AE54" s="3"/>
    </row>
    <row r="55" spans="1:132" ht="31.5" hidden="1" x14ac:dyDescent="0.25">
      <c r="A55" s="61" t="s">
        <v>95</v>
      </c>
      <c r="B55" s="62" t="s">
        <v>59</v>
      </c>
      <c r="C55" s="62"/>
      <c r="D55" s="3">
        <v>0</v>
      </c>
      <c r="E55" s="89"/>
      <c r="F55" s="3"/>
      <c r="G55" s="3"/>
      <c r="H55" s="3"/>
      <c r="I55" s="2">
        <f t="shared" si="3"/>
        <v>0</v>
      </c>
      <c r="J55" s="3"/>
      <c r="K55" s="101"/>
      <c r="L55" s="3"/>
      <c r="M55" s="3"/>
      <c r="N55" s="3"/>
      <c r="O55" s="3"/>
      <c r="P55" s="3"/>
      <c r="Q55" s="3"/>
      <c r="R55" s="3"/>
      <c r="S55" s="2">
        <f t="shared" si="4"/>
        <v>0</v>
      </c>
      <c r="T55" s="3">
        <f t="shared" si="17"/>
        <v>0</v>
      </c>
      <c r="U55" s="101"/>
      <c r="V55" s="3"/>
      <c r="W55" s="3"/>
      <c r="X55" s="3"/>
      <c r="Y55" s="101"/>
      <c r="Z55" s="2">
        <f>E55-J55</f>
        <v>0</v>
      </c>
      <c r="AA55" s="2">
        <f>J55-E55</f>
        <v>0</v>
      </c>
      <c r="AB55" s="52" t="e">
        <f t="shared" si="2"/>
        <v>#DIV/0!</v>
      </c>
      <c r="AC55" s="3"/>
      <c r="AD55" s="3"/>
      <c r="AE55" s="74"/>
    </row>
    <row r="56" spans="1:132" ht="31.5" hidden="1" x14ac:dyDescent="0.25">
      <c r="A56" s="61" t="s">
        <v>96</v>
      </c>
      <c r="B56" s="62" t="s">
        <v>60</v>
      </c>
      <c r="C56" s="62"/>
      <c r="D56" s="2">
        <v>0</v>
      </c>
      <c r="E56" s="88"/>
      <c r="F56" s="2"/>
      <c r="G56" s="2"/>
      <c r="H56" s="2"/>
      <c r="I56" s="2">
        <f t="shared" si="3"/>
        <v>0</v>
      </c>
      <c r="J56" s="3"/>
      <c r="K56" s="101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3">
        <f t="shared" si="17"/>
        <v>0</v>
      </c>
      <c r="U56" s="100"/>
      <c r="V56" s="2"/>
      <c r="W56" s="2"/>
      <c r="X56" s="2"/>
      <c r="Y56" s="100"/>
      <c r="Z56" s="2">
        <f>E56-J56</f>
        <v>0</v>
      </c>
      <c r="AA56" s="2">
        <f>J56-E56</f>
        <v>0</v>
      </c>
      <c r="AB56" s="52" t="e">
        <f t="shared" si="2"/>
        <v>#DIV/0!</v>
      </c>
      <c r="AC56" s="2"/>
      <c r="AD56" s="2"/>
      <c r="AE56" s="2"/>
    </row>
    <row r="57" spans="1:132" s="69" customFormat="1" ht="31.5" x14ac:dyDescent="0.25">
      <c r="A57" s="61" t="s">
        <v>97</v>
      </c>
      <c r="B57" s="62" t="s">
        <v>61</v>
      </c>
      <c r="C57" s="62" t="s">
        <v>139</v>
      </c>
      <c r="D57" s="2">
        <f t="shared" ref="D57" si="20">D58+D59</f>
        <v>0</v>
      </c>
      <c r="E57" s="2">
        <f>E58+E59</f>
        <v>0</v>
      </c>
      <c r="F57" s="2">
        <f t="shared" ref="F57:Y57" si="21">F58+F59</f>
        <v>0</v>
      </c>
      <c r="G57" s="2">
        <f t="shared" si="21"/>
        <v>0</v>
      </c>
      <c r="H57" s="2">
        <f t="shared" si="21"/>
        <v>0</v>
      </c>
      <c r="I57" s="2">
        <f t="shared" si="21"/>
        <v>0</v>
      </c>
      <c r="J57" s="2">
        <f t="shared" si="21"/>
        <v>1.9794068300000001</v>
      </c>
      <c r="K57" s="100">
        <f t="shared" si="21"/>
        <v>1.88043648</v>
      </c>
      <c r="L57" s="2">
        <f t="shared" si="21"/>
        <v>9.8970350000000012E-2</v>
      </c>
      <c r="M57" s="2">
        <f t="shared" si="21"/>
        <v>0</v>
      </c>
      <c r="N57" s="2">
        <f t="shared" si="21"/>
        <v>0</v>
      </c>
      <c r="O57" s="2">
        <f t="shared" si="21"/>
        <v>1</v>
      </c>
      <c r="P57" s="2">
        <f t="shared" si="21"/>
        <v>0</v>
      </c>
      <c r="Q57" s="2">
        <f t="shared" si="21"/>
        <v>0</v>
      </c>
      <c r="R57" s="2">
        <f t="shared" si="21"/>
        <v>0</v>
      </c>
      <c r="S57" s="2">
        <f t="shared" si="21"/>
        <v>1</v>
      </c>
      <c r="T57" s="2">
        <f t="shared" si="21"/>
        <v>1.64950569</v>
      </c>
      <c r="U57" s="100">
        <f>U58+U59</f>
        <v>1.64950569</v>
      </c>
      <c r="V57" s="2">
        <f t="shared" si="21"/>
        <v>0</v>
      </c>
      <c r="W57" s="2">
        <f t="shared" si="21"/>
        <v>0</v>
      </c>
      <c r="X57" s="2">
        <f t="shared" si="21"/>
        <v>0</v>
      </c>
      <c r="Y57" s="2">
        <f t="shared" si="21"/>
        <v>0</v>
      </c>
      <c r="Z57" s="2">
        <f>Z58+Z59</f>
        <v>0</v>
      </c>
      <c r="AA57" s="2">
        <f t="shared" ref="AA57" si="22">AA58</f>
        <v>0</v>
      </c>
      <c r="AB57" s="52" t="e">
        <f t="shared" si="2"/>
        <v>#DIV/0!</v>
      </c>
      <c r="AC57" s="3"/>
      <c r="AD57" s="3"/>
      <c r="AE57" s="74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</row>
    <row r="58" spans="1:132" ht="15.75" x14ac:dyDescent="0.25">
      <c r="A58" s="38" t="s">
        <v>114</v>
      </c>
      <c r="B58" s="70" t="s">
        <v>121</v>
      </c>
      <c r="C58" s="71" t="s">
        <v>142</v>
      </c>
      <c r="D58" s="4">
        <v>0</v>
      </c>
      <c r="E58" s="90">
        <v>0</v>
      </c>
      <c r="F58" s="4"/>
      <c r="G58" s="4"/>
      <c r="H58" s="4"/>
      <c r="I58" s="2">
        <f t="shared" si="3"/>
        <v>0</v>
      </c>
      <c r="J58" s="4">
        <f t="shared" ref="J58:J59" si="23">K58+L58+M58+N58</f>
        <v>0</v>
      </c>
      <c r="K58" s="102"/>
      <c r="L58" s="4"/>
      <c r="M58" s="4"/>
      <c r="N58" s="4"/>
      <c r="O58" s="4">
        <v>0</v>
      </c>
      <c r="P58" s="4"/>
      <c r="Q58" s="4"/>
      <c r="R58" s="4"/>
      <c r="S58" s="2">
        <f t="shared" si="4"/>
        <v>0</v>
      </c>
      <c r="T58" s="4">
        <f t="shared" si="17"/>
        <v>0</v>
      </c>
      <c r="U58" s="102"/>
      <c r="V58" s="4"/>
      <c r="W58" s="4"/>
      <c r="X58" s="4"/>
      <c r="Y58" s="102"/>
      <c r="Z58" s="2"/>
      <c r="AA58" s="2">
        <f>J58-E58</f>
        <v>0</v>
      </c>
      <c r="AB58" s="52" t="e">
        <f t="shared" ref="AB58" si="24">AA58/E58</f>
        <v>#DIV/0!</v>
      </c>
      <c r="AC58" s="3"/>
      <c r="AD58" s="3"/>
      <c r="AE58" s="4"/>
    </row>
    <row r="59" spans="1:132" ht="47.25" x14ac:dyDescent="0.25">
      <c r="A59" s="38" t="s">
        <v>257</v>
      </c>
      <c r="B59" s="70" t="s">
        <v>255</v>
      </c>
      <c r="C59" s="71" t="s">
        <v>256</v>
      </c>
      <c r="D59" s="4">
        <v>0</v>
      </c>
      <c r="E59" s="90">
        <v>0</v>
      </c>
      <c r="F59" s="4"/>
      <c r="G59" s="4"/>
      <c r="H59" s="4"/>
      <c r="I59" s="2"/>
      <c r="J59" s="4">
        <f t="shared" si="23"/>
        <v>1.9794068300000001</v>
      </c>
      <c r="K59" s="102">
        <f>1880436.48/1000000</f>
        <v>1.88043648</v>
      </c>
      <c r="L59" s="4">
        <v>9.8970350000000012E-2</v>
      </c>
      <c r="M59" s="4"/>
      <c r="N59" s="4"/>
      <c r="O59" s="4">
        <v>1</v>
      </c>
      <c r="P59" s="4"/>
      <c r="Q59" s="4"/>
      <c r="R59" s="4"/>
      <c r="S59" s="2">
        <f t="shared" ref="S59" si="25">O59</f>
        <v>1</v>
      </c>
      <c r="T59" s="4">
        <f t="shared" ref="T59" si="26">U59+V59+W59+X59</f>
        <v>1.64950569</v>
      </c>
      <c r="U59" s="102">
        <f>1649505.69/1000000</f>
        <v>1.64950569</v>
      </c>
      <c r="V59" s="4"/>
      <c r="W59" s="4"/>
      <c r="X59" s="4"/>
      <c r="Y59" s="102"/>
      <c r="Z59" s="2"/>
      <c r="AA59" s="2"/>
      <c r="AB59" s="52"/>
      <c r="AC59" s="3"/>
      <c r="AD59" s="3"/>
      <c r="AE59" s="4"/>
    </row>
    <row r="60" spans="1:132" ht="31.5" hidden="1" x14ac:dyDescent="0.25">
      <c r="A60" s="61" t="s">
        <v>98</v>
      </c>
      <c r="B60" s="66" t="s">
        <v>62</v>
      </c>
      <c r="C60" s="66"/>
      <c r="D60" s="2">
        <v>0</v>
      </c>
      <c r="E60" s="88"/>
      <c r="F60" s="2"/>
      <c r="G60" s="2"/>
      <c r="H60" s="2"/>
      <c r="I60" s="2">
        <f t="shared" si="3"/>
        <v>0</v>
      </c>
      <c r="J60" s="3"/>
      <c r="K60" s="101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2"/>
      <c r="U60" s="100"/>
      <c r="V60" s="2"/>
      <c r="W60" s="2"/>
      <c r="X60" s="2"/>
      <c r="Y60" s="100"/>
      <c r="Z60" s="2">
        <f t="shared" ref="Z60:Z74" si="27">E60-J60</f>
        <v>0</v>
      </c>
      <c r="AA60" s="2">
        <f t="shared" ref="AA60:AA74" si="28">J60-E60</f>
        <v>0</v>
      </c>
      <c r="AB60" s="52" t="e">
        <f t="shared" ref="AB60:AB72" si="29">AA60/E60</f>
        <v>#DIV/0!</v>
      </c>
      <c r="AC60" s="3"/>
      <c r="AD60" s="3"/>
      <c r="AE60" s="2"/>
    </row>
    <row r="61" spans="1:132" ht="31.5" hidden="1" x14ac:dyDescent="0.25">
      <c r="A61" s="75" t="s">
        <v>99</v>
      </c>
      <c r="B61" s="62" t="s">
        <v>63</v>
      </c>
      <c r="C61" s="62"/>
      <c r="D61" s="3">
        <v>0</v>
      </c>
      <c r="E61" s="89"/>
      <c r="F61" s="3"/>
      <c r="G61" s="3"/>
      <c r="H61" s="3"/>
      <c r="I61" s="2">
        <f t="shared" si="3"/>
        <v>0</v>
      </c>
      <c r="J61" s="3"/>
      <c r="K61" s="101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101"/>
      <c r="V61" s="3"/>
      <c r="W61" s="3"/>
      <c r="X61" s="3"/>
      <c r="Y61" s="101"/>
      <c r="Z61" s="2">
        <f t="shared" si="27"/>
        <v>0</v>
      </c>
      <c r="AA61" s="2">
        <f t="shared" si="28"/>
        <v>0</v>
      </c>
      <c r="AB61" s="52" t="e">
        <f t="shared" si="29"/>
        <v>#DIV/0!</v>
      </c>
      <c r="AC61" s="3"/>
      <c r="AD61" s="3"/>
      <c r="AE61" s="72"/>
    </row>
    <row r="62" spans="1:132" s="69" customFormat="1" ht="31.5" hidden="1" x14ac:dyDescent="0.25">
      <c r="A62" s="75" t="s">
        <v>100</v>
      </c>
      <c r="B62" s="62" t="s">
        <v>64</v>
      </c>
      <c r="C62" s="62"/>
      <c r="D62" s="3">
        <v>0</v>
      </c>
      <c r="E62" s="89"/>
      <c r="F62" s="3"/>
      <c r="G62" s="3"/>
      <c r="H62" s="3"/>
      <c r="I62" s="2">
        <f t="shared" si="3"/>
        <v>0</v>
      </c>
      <c r="J62" s="3"/>
      <c r="K62" s="101"/>
      <c r="L62" s="3"/>
      <c r="M62" s="3"/>
      <c r="N62" s="3"/>
      <c r="O62" s="3"/>
      <c r="P62" s="3"/>
      <c r="Q62" s="3"/>
      <c r="R62" s="3"/>
      <c r="S62" s="2">
        <f t="shared" si="4"/>
        <v>0</v>
      </c>
      <c r="T62" s="3"/>
      <c r="U62" s="101"/>
      <c r="V62" s="3"/>
      <c r="W62" s="3"/>
      <c r="X62" s="3"/>
      <c r="Y62" s="101"/>
      <c r="Z62" s="2">
        <f t="shared" si="27"/>
        <v>0</v>
      </c>
      <c r="AA62" s="2">
        <f t="shared" si="28"/>
        <v>0</v>
      </c>
      <c r="AB62" s="52" t="e">
        <f t="shared" si="29"/>
        <v>#DIV/0!</v>
      </c>
      <c r="AC62" s="3"/>
      <c r="AD62" s="3"/>
      <c r="AE62" s="76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</row>
    <row r="63" spans="1:132" s="69" customFormat="1" ht="15.75" hidden="1" x14ac:dyDescent="0.25">
      <c r="A63" s="77" t="s">
        <v>101</v>
      </c>
      <c r="B63" s="62" t="s">
        <v>65</v>
      </c>
      <c r="C63" s="62"/>
      <c r="D63" s="2">
        <v>0</v>
      </c>
      <c r="E63" s="88"/>
      <c r="F63" s="2"/>
      <c r="G63" s="2"/>
      <c r="H63" s="2"/>
      <c r="I63" s="2">
        <f t="shared" si="3"/>
        <v>0</v>
      </c>
      <c r="J63" s="3"/>
      <c r="K63" s="101"/>
      <c r="L63" s="3"/>
      <c r="M63" s="3"/>
      <c r="N63" s="3"/>
      <c r="O63" s="3"/>
      <c r="P63" s="3"/>
      <c r="Q63" s="3"/>
      <c r="R63" s="3"/>
      <c r="S63" s="2">
        <f t="shared" si="4"/>
        <v>0</v>
      </c>
      <c r="T63" s="2"/>
      <c r="U63" s="100"/>
      <c r="V63" s="2"/>
      <c r="W63" s="2"/>
      <c r="X63" s="2"/>
      <c r="Y63" s="100"/>
      <c r="Z63" s="2">
        <f t="shared" si="27"/>
        <v>0</v>
      </c>
      <c r="AA63" s="2">
        <f t="shared" si="28"/>
        <v>0</v>
      </c>
      <c r="AB63" s="52" t="e">
        <f t="shared" si="29"/>
        <v>#DIV/0!</v>
      </c>
      <c r="AC63" s="3"/>
      <c r="AD63" s="3"/>
      <c r="AE63" s="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</row>
    <row r="64" spans="1:132" ht="31.5" hidden="1" collapsed="1" x14ac:dyDescent="0.25">
      <c r="A64" s="75" t="s">
        <v>102</v>
      </c>
      <c r="B64" s="62" t="s">
        <v>63</v>
      </c>
      <c r="C64" s="62"/>
      <c r="D64" s="3">
        <v>0</v>
      </c>
      <c r="E64" s="89"/>
      <c r="F64" s="3"/>
      <c r="G64" s="3"/>
      <c r="H64" s="3"/>
      <c r="I64" s="2">
        <f t="shared" si="3"/>
        <v>0</v>
      </c>
      <c r="J64" s="3"/>
      <c r="K64" s="101"/>
      <c r="L64" s="3"/>
      <c r="M64" s="3"/>
      <c r="N64" s="3"/>
      <c r="O64" s="3"/>
      <c r="P64" s="3"/>
      <c r="Q64" s="3"/>
      <c r="R64" s="3"/>
      <c r="S64" s="2">
        <f t="shared" si="4"/>
        <v>0</v>
      </c>
      <c r="T64" s="3"/>
      <c r="U64" s="101"/>
      <c r="V64" s="3"/>
      <c r="W64" s="3"/>
      <c r="X64" s="3"/>
      <c r="Y64" s="101"/>
      <c r="Z64" s="2">
        <f t="shared" si="27"/>
        <v>0</v>
      </c>
      <c r="AA64" s="2">
        <f t="shared" si="28"/>
        <v>0</v>
      </c>
      <c r="AB64" s="52" t="e">
        <f t="shared" si="29"/>
        <v>#DIV/0!</v>
      </c>
      <c r="AC64" s="3"/>
      <c r="AD64" s="3"/>
      <c r="AE64" s="3"/>
    </row>
    <row r="65" spans="1:32" ht="31.5" hidden="1" x14ac:dyDescent="0.25">
      <c r="A65" s="78" t="s">
        <v>103</v>
      </c>
      <c r="B65" s="79" t="s">
        <v>64</v>
      </c>
      <c r="C65" s="79"/>
      <c r="D65" s="3">
        <v>0</v>
      </c>
      <c r="E65" s="89"/>
      <c r="F65" s="3"/>
      <c r="G65" s="3"/>
      <c r="H65" s="3"/>
      <c r="I65" s="2">
        <f t="shared" si="3"/>
        <v>0</v>
      </c>
      <c r="J65" s="3"/>
      <c r="K65" s="101"/>
      <c r="L65" s="3"/>
      <c r="M65" s="3"/>
      <c r="N65" s="3"/>
      <c r="O65" s="3"/>
      <c r="P65" s="3"/>
      <c r="Q65" s="3"/>
      <c r="R65" s="3"/>
      <c r="S65" s="2">
        <f t="shared" si="4"/>
        <v>0</v>
      </c>
      <c r="T65" s="3"/>
      <c r="U65" s="101"/>
      <c r="V65" s="3"/>
      <c r="W65" s="3"/>
      <c r="X65" s="3"/>
      <c r="Y65" s="101"/>
      <c r="Z65" s="2">
        <f t="shared" si="27"/>
        <v>0</v>
      </c>
      <c r="AA65" s="2">
        <f t="shared" si="28"/>
        <v>0</v>
      </c>
      <c r="AB65" s="52" t="e">
        <f t="shared" si="29"/>
        <v>#DIV/0!</v>
      </c>
      <c r="AC65" s="3"/>
      <c r="AD65" s="3"/>
      <c r="AE65" s="3"/>
    </row>
    <row r="66" spans="1:32" ht="15.75" x14ac:dyDescent="0.25">
      <c r="A66" s="61" t="s">
        <v>104</v>
      </c>
      <c r="B66" s="62" t="s">
        <v>66</v>
      </c>
      <c r="C66" s="62" t="s">
        <v>139</v>
      </c>
      <c r="D66" s="2">
        <f>D67+D72</f>
        <v>5258.8289576723682</v>
      </c>
      <c r="E66" s="88">
        <f>E67+E72</f>
        <v>2422.3513800299997</v>
      </c>
      <c r="F66" s="2"/>
      <c r="G66" s="2"/>
      <c r="H66" s="2"/>
      <c r="I66" s="2">
        <f t="shared" si="3"/>
        <v>2422.3513800299997</v>
      </c>
      <c r="J66" s="2">
        <f>J67+J72</f>
        <v>391.024907778</v>
      </c>
      <c r="K66" s="100">
        <f t="shared" ref="K66:N66" si="30">K67+K72</f>
        <v>46.700242278000005</v>
      </c>
      <c r="L66" s="2">
        <f t="shared" si="30"/>
        <v>344.32466549999998</v>
      </c>
      <c r="M66" s="2">
        <f t="shared" si="30"/>
        <v>0</v>
      </c>
      <c r="N66" s="2">
        <f t="shared" si="30"/>
        <v>0</v>
      </c>
      <c r="O66" s="2">
        <f t="shared" ref="O66:X66" si="31">O67+O72</f>
        <v>3588.1480157879332</v>
      </c>
      <c r="P66" s="2">
        <f t="shared" si="31"/>
        <v>0</v>
      </c>
      <c r="Q66" s="2">
        <f t="shared" si="31"/>
        <v>0</v>
      </c>
      <c r="R66" s="2">
        <f t="shared" si="31"/>
        <v>0</v>
      </c>
      <c r="S66" s="2">
        <f t="shared" si="4"/>
        <v>3588.1480157879332</v>
      </c>
      <c r="T66" s="2">
        <f t="shared" si="31"/>
        <v>652.20433039</v>
      </c>
      <c r="U66" s="100">
        <f t="shared" si="31"/>
        <v>102.43172956999999</v>
      </c>
      <c r="V66" s="2">
        <f t="shared" si="31"/>
        <v>549.77260081999998</v>
      </c>
      <c r="W66" s="2">
        <f t="shared" si="31"/>
        <v>0</v>
      </c>
      <c r="X66" s="2">
        <f t="shared" si="31"/>
        <v>0</v>
      </c>
      <c r="Y66" s="100">
        <f>Y67</f>
        <v>0</v>
      </c>
      <c r="Z66" s="2">
        <f t="shared" si="27"/>
        <v>2031.3264722519998</v>
      </c>
      <c r="AA66" s="2">
        <f t="shared" si="28"/>
        <v>-2031.3264722519998</v>
      </c>
      <c r="AB66" s="52">
        <f t="shared" si="29"/>
        <v>-0.83857630606293077</v>
      </c>
      <c r="AC66" s="3"/>
      <c r="AD66" s="3"/>
      <c r="AE66" s="3"/>
    </row>
    <row r="67" spans="1:32" ht="31.5" x14ac:dyDescent="0.25">
      <c r="A67" s="80" t="s">
        <v>105</v>
      </c>
      <c r="B67" s="81" t="s">
        <v>31</v>
      </c>
      <c r="C67" s="62" t="s">
        <v>139</v>
      </c>
      <c r="D67" s="2">
        <f>SUM(D68:D69)</f>
        <v>4075.2974260723681</v>
      </c>
      <c r="E67" s="88">
        <f>SUM(E68:E69)</f>
        <v>1628.953826072368</v>
      </c>
      <c r="F67" s="2"/>
      <c r="G67" s="2"/>
      <c r="H67" s="2"/>
      <c r="I67" s="2">
        <f t="shared" si="3"/>
        <v>1628.953826072368</v>
      </c>
      <c r="J67" s="2">
        <f>SUM(J68:J69)</f>
        <v>202.12218170800003</v>
      </c>
      <c r="K67" s="100">
        <f t="shared" ref="K67:N67" si="32">SUM(K68:K69)</f>
        <v>34.411314668000003</v>
      </c>
      <c r="L67" s="2">
        <f t="shared" si="32"/>
        <v>167.71086704000001</v>
      </c>
      <c r="M67" s="2">
        <f t="shared" si="32"/>
        <v>0</v>
      </c>
      <c r="N67" s="2">
        <f t="shared" si="32"/>
        <v>0</v>
      </c>
      <c r="O67" s="2">
        <f>SUM(O68:O69)</f>
        <v>1613.797749123333</v>
      </c>
      <c r="P67" s="2">
        <f t="shared" ref="P67:X67" si="33">SUM(P68:P69)</f>
        <v>0</v>
      </c>
      <c r="Q67" s="2">
        <f t="shared" si="33"/>
        <v>0</v>
      </c>
      <c r="R67" s="2">
        <f t="shared" si="33"/>
        <v>0</v>
      </c>
      <c r="S67" s="2">
        <f t="shared" si="4"/>
        <v>1613.797749123333</v>
      </c>
      <c r="T67" s="2">
        <f t="shared" si="33"/>
        <v>342.58254847000001</v>
      </c>
      <c r="U67" s="100">
        <f t="shared" si="33"/>
        <v>47.472509959999996</v>
      </c>
      <c r="V67" s="2">
        <f t="shared" si="33"/>
        <v>295.11003850999998</v>
      </c>
      <c r="W67" s="2">
        <f t="shared" si="33"/>
        <v>0</v>
      </c>
      <c r="X67" s="2">
        <f t="shared" si="33"/>
        <v>0</v>
      </c>
      <c r="Y67" s="100">
        <v>0</v>
      </c>
      <c r="Z67" s="2">
        <f t="shared" si="27"/>
        <v>1426.831644364368</v>
      </c>
      <c r="AA67" s="2">
        <f t="shared" si="28"/>
        <v>-1426.831644364368</v>
      </c>
      <c r="AB67" s="52">
        <f t="shared" si="29"/>
        <v>-0.87591902331857718</v>
      </c>
      <c r="AC67" s="3"/>
      <c r="AD67" s="3"/>
      <c r="AE67" s="3"/>
      <c r="AF67" s="82"/>
    </row>
    <row r="68" spans="1:32" ht="31.5" x14ac:dyDescent="0.25">
      <c r="A68" s="38" t="s">
        <v>106</v>
      </c>
      <c r="B68" s="70" t="s">
        <v>206</v>
      </c>
      <c r="C68" s="71" t="s">
        <v>136</v>
      </c>
      <c r="D68" s="3">
        <v>3313.8476000000001</v>
      </c>
      <c r="E68" s="89">
        <v>867.50400000000002</v>
      </c>
      <c r="F68" s="3"/>
      <c r="G68" s="3"/>
      <c r="H68" s="3"/>
      <c r="I68" s="2">
        <f t="shared" si="3"/>
        <v>867.50400000000002</v>
      </c>
      <c r="J68" s="3">
        <f t="shared" ref="J68:J69" si="34">K68+L68+M68+N68</f>
        <v>8.9199493799999985</v>
      </c>
      <c r="K68" s="101">
        <f>4218477.57/1000000</f>
        <v>4.2184775700000001</v>
      </c>
      <c r="L68" s="3">
        <v>4.7014718099999993</v>
      </c>
      <c r="M68" s="3"/>
      <c r="N68" s="3"/>
      <c r="O68" s="3">
        <v>756.363333333333</v>
      </c>
      <c r="P68" s="3"/>
      <c r="Q68" s="3"/>
      <c r="R68" s="3"/>
      <c r="S68" s="2">
        <f t="shared" si="4"/>
        <v>756.363333333333</v>
      </c>
      <c r="T68" s="3">
        <f t="shared" ref="T68:T69" si="35">U68+V68+W68+X68</f>
        <v>9.6488737499999999</v>
      </c>
      <c r="U68" s="101">
        <f>4138126.74/1000000</f>
        <v>4.1381267400000006</v>
      </c>
      <c r="V68" s="3">
        <v>5.5107470100000002</v>
      </c>
      <c r="W68" s="3"/>
      <c r="X68" s="3"/>
      <c r="Y68" s="101"/>
      <c r="Z68" s="2">
        <f t="shared" si="27"/>
        <v>858.58405061999997</v>
      </c>
      <c r="AA68" s="2">
        <f t="shared" si="28"/>
        <v>-858.58405061999997</v>
      </c>
      <c r="AB68" s="52">
        <f t="shared" si="29"/>
        <v>-0.98971768501355606</v>
      </c>
      <c r="AC68" s="3"/>
      <c r="AD68" s="3"/>
      <c r="AE68" s="3"/>
    </row>
    <row r="69" spans="1:32" ht="31.5" x14ac:dyDescent="0.25">
      <c r="A69" s="38" t="s">
        <v>112</v>
      </c>
      <c r="B69" s="70" t="s">
        <v>207</v>
      </c>
      <c r="C69" s="71" t="s">
        <v>137</v>
      </c>
      <c r="D69" s="3">
        <v>761.44982607236807</v>
      </c>
      <c r="E69" s="89">
        <v>761.44982607236796</v>
      </c>
      <c r="F69" s="3"/>
      <c r="G69" s="3"/>
      <c r="H69" s="3"/>
      <c r="I69" s="2">
        <f t="shared" si="3"/>
        <v>761.44982607236796</v>
      </c>
      <c r="J69" s="3">
        <f t="shared" si="34"/>
        <v>193.20223232800004</v>
      </c>
      <c r="K69" s="101">
        <f>30192837.098/1000000</f>
        <v>30.192837098000002</v>
      </c>
      <c r="L69" s="3">
        <v>163.00939523000002</v>
      </c>
      <c r="M69" s="3"/>
      <c r="N69" s="3"/>
      <c r="O69" s="3">
        <v>857.43441579</v>
      </c>
      <c r="P69" s="3"/>
      <c r="Q69" s="3"/>
      <c r="R69" s="3"/>
      <c r="S69" s="2">
        <f t="shared" si="4"/>
        <v>857.43441579</v>
      </c>
      <c r="T69" s="3">
        <f t="shared" si="35"/>
        <v>332.93367472</v>
      </c>
      <c r="U69" s="101">
        <f>43334383.22/1000000</f>
        <v>43.334383219999999</v>
      </c>
      <c r="V69" s="3">
        <v>289.59929149999999</v>
      </c>
      <c r="W69" s="3"/>
      <c r="X69" s="3"/>
      <c r="Y69" s="101"/>
      <c r="Z69" s="2">
        <f t="shared" si="27"/>
        <v>568.24759374436792</v>
      </c>
      <c r="AA69" s="2">
        <f t="shared" si="28"/>
        <v>-568.24759374436792</v>
      </c>
      <c r="AB69" s="52">
        <f t="shared" si="29"/>
        <v>-0.74627056739305353</v>
      </c>
      <c r="AC69" s="3"/>
      <c r="AD69" s="3"/>
      <c r="AE69" s="3"/>
    </row>
    <row r="70" spans="1:32" ht="15.75" hidden="1" x14ac:dyDescent="0.25">
      <c r="A70" s="61" t="s">
        <v>107</v>
      </c>
      <c r="B70" s="62" t="s">
        <v>67</v>
      </c>
      <c r="C70" s="62"/>
      <c r="D70" s="2">
        <v>0</v>
      </c>
      <c r="E70" s="88"/>
      <c r="F70" s="2"/>
      <c r="G70" s="2"/>
      <c r="H70" s="2"/>
      <c r="I70" s="2">
        <f t="shared" si="3"/>
        <v>0</v>
      </c>
      <c r="J70" s="3"/>
      <c r="K70" s="101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2"/>
      <c r="U70" s="100"/>
      <c r="V70" s="2"/>
      <c r="W70" s="2"/>
      <c r="X70" s="2"/>
      <c r="Y70" s="100"/>
      <c r="Z70" s="2">
        <f t="shared" si="27"/>
        <v>0</v>
      </c>
      <c r="AA70" s="2">
        <f t="shared" si="28"/>
        <v>0</v>
      </c>
      <c r="AB70" s="52" t="e">
        <f t="shared" si="29"/>
        <v>#DIV/0!</v>
      </c>
      <c r="AC70" s="3"/>
      <c r="AD70" s="3"/>
      <c r="AE70" s="2"/>
    </row>
    <row r="71" spans="1:32" ht="15.75" hidden="1" x14ac:dyDescent="0.25">
      <c r="A71" s="61" t="s">
        <v>108</v>
      </c>
      <c r="B71" s="62" t="s">
        <v>68</v>
      </c>
      <c r="C71" s="62"/>
      <c r="D71" s="3">
        <v>0</v>
      </c>
      <c r="E71" s="89"/>
      <c r="F71" s="3"/>
      <c r="G71" s="3"/>
      <c r="H71" s="3"/>
      <c r="I71" s="2">
        <f t="shared" si="3"/>
        <v>0</v>
      </c>
      <c r="J71" s="3"/>
      <c r="K71" s="101"/>
      <c r="L71" s="3"/>
      <c r="M71" s="3"/>
      <c r="N71" s="3"/>
      <c r="O71" s="3"/>
      <c r="P71" s="3"/>
      <c r="Q71" s="3"/>
      <c r="R71" s="3"/>
      <c r="S71" s="2">
        <f t="shared" si="4"/>
        <v>0</v>
      </c>
      <c r="T71" s="3"/>
      <c r="U71" s="101"/>
      <c r="V71" s="3"/>
      <c r="W71" s="3"/>
      <c r="X71" s="3"/>
      <c r="Y71" s="101"/>
      <c r="Z71" s="2">
        <f t="shared" si="27"/>
        <v>0</v>
      </c>
      <c r="AA71" s="2">
        <f t="shared" si="28"/>
        <v>0</v>
      </c>
      <c r="AB71" s="52" t="e">
        <f t="shared" si="29"/>
        <v>#DIV/0!</v>
      </c>
      <c r="AC71" s="3"/>
      <c r="AD71" s="3"/>
      <c r="AE71" s="3"/>
    </row>
    <row r="72" spans="1:32" ht="15.75" x14ac:dyDescent="0.25">
      <c r="A72" s="61" t="s">
        <v>109</v>
      </c>
      <c r="B72" s="62" t="s">
        <v>69</v>
      </c>
      <c r="C72" s="62" t="s">
        <v>139</v>
      </c>
      <c r="D72" s="2">
        <f>D73</f>
        <v>1183.5315315999999</v>
      </c>
      <c r="E72" s="88">
        <f>E73</f>
        <v>793.397553957632</v>
      </c>
      <c r="F72" s="2"/>
      <c r="G72" s="2"/>
      <c r="H72" s="2"/>
      <c r="I72" s="2">
        <f t="shared" si="3"/>
        <v>793.397553957632</v>
      </c>
      <c r="J72" s="2">
        <f t="shared" ref="J72:Y72" si="36">J73</f>
        <v>188.90272606999997</v>
      </c>
      <c r="K72" s="100">
        <f t="shared" si="36"/>
        <v>12.28892761</v>
      </c>
      <c r="L72" s="2">
        <f t="shared" si="36"/>
        <v>176.61379845999997</v>
      </c>
      <c r="M72" s="2">
        <f t="shared" si="36"/>
        <v>0</v>
      </c>
      <c r="N72" s="2">
        <f t="shared" si="36"/>
        <v>0</v>
      </c>
      <c r="O72" s="2">
        <f t="shared" si="36"/>
        <v>1974.3502666646</v>
      </c>
      <c r="P72" s="2">
        <f t="shared" si="36"/>
        <v>0</v>
      </c>
      <c r="Q72" s="2">
        <f t="shared" si="36"/>
        <v>0</v>
      </c>
      <c r="R72" s="2">
        <f t="shared" si="36"/>
        <v>0</v>
      </c>
      <c r="S72" s="2">
        <f t="shared" si="4"/>
        <v>1974.3502666646</v>
      </c>
      <c r="T72" s="2">
        <f t="shared" si="36"/>
        <v>309.62178191999999</v>
      </c>
      <c r="U72" s="100">
        <f t="shared" si="36"/>
        <v>54.959219609999998</v>
      </c>
      <c r="V72" s="2">
        <f t="shared" si="36"/>
        <v>254.66256231</v>
      </c>
      <c r="W72" s="2">
        <f t="shared" si="36"/>
        <v>0</v>
      </c>
      <c r="X72" s="2">
        <f t="shared" si="36"/>
        <v>0</v>
      </c>
      <c r="Y72" s="100">
        <f t="shared" si="36"/>
        <v>0</v>
      </c>
      <c r="Z72" s="2">
        <f t="shared" si="27"/>
        <v>604.49482788763203</v>
      </c>
      <c r="AA72" s="2">
        <f t="shared" si="28"/>
        <v>-604.49482788763203</v>
      </c>
      <c r="AB72" s="52">
        <f t="shared" si="29"/>
        <v>-0.76190659382838544</v>
      </c>
      <c r="AC72" s="3"/>
      <c r="AD72" s="3"/>
      <c r="AE72" s="72"/>
    </row>
    <row r="73" spans="1:32" ht="31.5" x14ac:dyDescent="0.25">
      <c r="A73" s="38" t="s">
        <v>116</v>
      </c>
      <c r="B73" s="65" t="s">
        <v>117</v>
      </c>
      <c r="C73" s="71" t="s">
        <v>138</v>
      </c>
      <c r="D73" s="3">
        <v>1183.5315315999999</v>
      </c>
      <c r="E73" s="89">
        <v>793.397553957632</v>
      </c>
      <c r="F73" s="3"/>
      <c r="G73" s="3"/>
      <c r="H73" s="3"/>
      <c r="I73" s="2">
        <f t="shared" si="3"/>
        <v>793.397553957632</v>
      </c>
      <c r="J73" s="3">
        <f t="shared" ref="J73" si="37">K73+L73+M73+N73</f>
        <v>188.90272606999997</v>
      </c>
      <c r="K73" s="101">
        <f>12288927.61/1000000</f>
        <v>12.28892761</v>
      </c>
      <c r="L73" s="3">
        <v>176.61379845999997</v>
      </c>
      <c r="M73" s="3"/>
      <c r="N73" s="3"/>
      <c r="O73" s="3">
        <v>1974.3502666646</v>
      </c>
      <c r="P73" s="3"/>
      <c r="Q73" s="3"/>
      <c r="R73" s="3"/>
      <c r="S73" s="2">
        <f t="shared" si="4"/>
        <v>1974.3502666646</v>
      </c>
      <c r="T73" s="3">
        <f t="shared" ref="T73" si="38">U73+V73+W73+X73</f>
        <v>309.62178191999999</v>
      </c>
      <c r="U73" s="101">
        <f>54959219.61/1000000</f>
        <v>54.959219609999998</v>
      </c>
      <c r="V73" s="3">
        <v>254.66256231</v>
      </c>
      <c r="W73" s="3"/>
      <c r="X73" s="3"/>
      <c r="Y73" s="101"/>
      <c r="Z73" s="2">
        <f>E73-J73</f>
        <v>604.49482788763203</v>
      </c>
      <c r="AA73" s="2">
        <f>J73-E73</f>
        <v>-604.49482788763203</v>
      </c>
      <c r="AB73" s="52">
        <f>AA73/E73</f>
        <v>-0.76190659382838544</v>
      </c>
      <c r="AC73" s="3"/>
      <c r="AD73" s="3"/>
      <c r="AE73" s="72"/>
    </row>
    <row r="74" spans="1:32" ht="31.5" hidden="1" x14ac:dyDescent="0.25">
      <c r="A74" s="83" t="s">
        <v>110</v>
      </c>
      <c r="B74" s="84" t="s">
        <v>70</v>
      </c>
      <c r="C74" s="84"/>
      <c r="D74" s="3">
        <v>0</v>
      </c>
      <c r="E74" s="89"/>
      <c r="F74" s="3"/>
      <c r="G74" s="3"/>
      <c r="H74" s="3"/>
      <c r="I74" s="2">
        <f t="shared" si="3"/>
        <v>0</v>
      </c>
      <c r="J74" s="3"/>
      <c r="K74" s="101"/>
      <c r="L74" s="3"/>
      <c r="M74" s="3"/>
      <c r="N74" s="3"/>
      <c r="O74" s="3"/>
      <c r="P74" s="3"/>
      <c r="Q74" s="3"/>
      <c r="R74" s="3"/>
      <c r="S74" s="2">
        <f t="shared" si="4"/>
        <v>0</v>
      </c>
      <c r="T74" s="3"/>
      <c r="U74" s="101"/>
      <c r="V74" s="3"/>
      <c r="W74" s="3"/>
      <c r="X74" s="3"/>
      <c r="Y74" s="101"/>
      <c r="Z74" s="2">
        <f t="shared" si="27"/>
        <v>0</v>
      </c>
      <c r="AA74" s="2">
        <f t="shared" si="28"/>
        <v>0</v>
      </c>
      <c r="AB74" s="52" t="e">
        <f t="shared" ref="AB74:AB76" si="39">AA74/E74</f>
        <v>#DIV/0!</v>
      </c>
      <c r="AC74" s="3"/>
      <c r="AD74" s="3"/>
      <c r="AE74" s="72"/>
    </row>
    <row r="75" spans="1:32" ht="15.75" x14ac:dyDescent="0.25">
      <c r="A75" s="61" t="s">
        <v>111</v>
      </c>
      <c r="B75" s="79" t="s">
        <v>71</v>
      </c>
      <c r="C75" s="62" t="s">
        <v>139</v>
      </c>
      <c r="D75" s="2">
        <f>SUM(D76:D109)</f>
        <v>11.031771115308</v>
      </c>
      <c r="E75" s="2">
        <f t="shared" ref="E75:AA75" si="40">SUM(E76:E109)</f>
        <v>1.9533515843999998</v>
      </c>
      <c r="F75" s="2">
        <f t="shared" si="40"/>
        <v>0</v>
      </c>
      <c r="G75" s="2">
        <f t="shared" si="40"/>
        <v>0</v>
      </c>
      <c r="H75" s="2">
        <f t="shared" si="40"/>
        <v>0</v>
      </c>
      <c r="I75" s="2">
        <f t="shared" si="40"/>
        <v>1.9533515843999998</v>
      </c>
      <c r="J75" s="2">
        <f t="shared" si="40"/>
        <v>36.790878061999997</v>
      </c>
      <c r="K75" s="88">
        <f t="shared" si="40"/>
        <v>32.029988862000003</v>
      </c>
      <c r="L75" s="2">
        <f t="shared" si="40"/>
        <v>4.7608892000000003</v>
      </c>
      <c r="M75" s="2">
        <f t="shared" si="40"/>
        <v>0</v>
      </c>
      <c r="N75" s="2">
        <f t="shared" si="40"/>
        <v>0</v>
      </c>
      <c r="O75" s="2">
        <f t="shared" si="40"/>
        <v>1.6277929869999999</v>
      </c>
      <c r="P75" s="2">
        <f t="shared" si="40"/>
        <v>0</v>
      </c>
      <c r="Q75" s="2">
        <f t="shared" si="40"/>
        <v>0</v>
      </c>
      <c r="R75" s="2">
        <f t="shared" si="40"/>
        <v>0</v>
      </c>
      <c r="S75" s="2">
        <f t="shared" si="40"/>
        <v>1.6277929869999999</v>
      </c>
      <c r="T75" s="2">
        <f t="shared" si="40"/>
        <v>46.263349579999996</v>
      </c>
      <c r="U75" s="100">
        <f t="shared" si="40"/>
        <v>24.690726629999997</v>
      </c>
      <c r="V75" s="2">
        <f t="shared" si="40"/>
        <v>21.57262295</v>
      </c>
      <c r="W75" s="2">
        <f t="shared" si="40"/>
        <v>0</v>
      </c>
      <c r="X75" s="2">
        <f t="shared" si="40"/>
        <v>0</v>
      </c>
      <c r="Y75" s="2">
        <f t="shared" si="40"/>
        <v>0</v>
      </c>
      <c r="Z75" s="2">
        <f t="shared" si="40"/>
        <v>0.18327642999999993</v>
      </c>
      <c r="AA75" s="2">
        <f t="shared" si="40"/>
        <v>-0.18327642999999993</v>
      </c>
      <c r="AB75" s="52">
        <f t="shared" si="39"/>
        <v>-9.3826647216863387E-2</v>
      </c>
      <c r="AC75" s="3"/>
      <c r="AD75" s="3"/>
      <c r="AE75" s="72"/>
    </row>
    <row r="76" spans="1:32" ht="31.5" x14ac:dyDescent="0.25">
      <c r="A76" s="108" t="s">
        <v>183</v>
      </c>
      <c r="B76" s="107" t="s">
        <v>170</v>
      </c>
      <c r="C76" s="109" t="s">
        <v>171</v>
      </c>
      <c r="D76" s="91">
        <v>0</v>
      </c>
      <c r="E76" s="92">
        <v>0</v>
      </c>
      <c r="F76" s="46"/>
      <c r="G76" s="46"/>
      <c r="H76" s="46"/>
      <c r="I76" s="2">
        <f t="shared" si="3"/>
        <v>0</v>
      </c>
      <c r="J76" s="3">
        <f t="shared" ref="J76:J86" si="41">K76+L76+M76+N76</f>
        <v>0</v>
      </c>
      <c r="K76" s="103"/>
      <c r="L76" s="45"/>
      <c r="M76" s="45"/>
      <c r="N76" s="45"/>
      <c r="O76" s="94">
        <v>0</v>
      </c>
      <c r="P76" s="93"/>
      <c r="Q76" s="93"/>
      <c r="R76" s="93"/>
      <c r="S76" s="2">
        <f t="shared" si="4"/>
        <v>0</v>
      </c>
      <c r="T76" s="93">
        <f t="shared" ref="T76:T86" si="42">U76+V76+W76+X76</f>
        <v>0</v>
      </c>
      <c r="U76" s="103"/>
      <c r="V76" s="46"/>
      <c r="W76" s="46"/>
      <c r="X76" s="46"/>
      <c r="Y76" s="103"/>
      <c r="Z76" s="2">
        <f t="shared" ref="Z76:Z90" si="43">E76-J76</f>
        <v>0</v>
      </c>
      <c r="AA76" s="2">
        <f t="shared" ref="AA76:AA81" si="44">J76-E76</f>
        <v>0</v>
      </c>
      <c r="AB76" s="52" t="e">
        <f t="shared" si="39"/>
        <v>#DIV/0!</v>
      </c>
      <c r="AC76" s="46"/>
      <c r="AD76" s="46"/>
      <c r="AE76" s="53"/>
    </row>
    <row r="77" spans="1:32" ht="31.5" x14ac:dyDescent="0.25">
      <c r="A77" s="108" t="s">
        <v>184</v>
      </c>
      <c r="B77" s="107" t="s">
        <v>172</v>
      </c>
      <c r="C77" s="109" t="s">
        <v>173</v>
      </c>
      <c r="D77" s="91">
        <v>0</v>
      </c>
      <c r="E77" s="92">
        <v>0</v>
      </c>
      <c r="F77" s="46"/>
      <c r="G77" s="46"/>
      <c r="H77" s="46"/>
      <c r="I77" s="2">
        <f t="shared" si="3"/>
        <v>0</v>
      </c>
      <c r="J77" s="3">
        <f t="shared" si="41"/>
        <v>0</v>
      </c>
      <c r="K77" s="103"/>
      <c r="L77" s="45"/>
      <c r="M77" s="45"/>
      <c r="N77" s="45"/>
      <c r="O77" s="94">
        <v>0</v>
      </c>
      <c r="P77" s="93"/>
      <c r="Q77" s="93"/>
      <c r="R77" s="93"/>
      <c r="S77" s="2">
        <f t="shared" si="4"/>
        <v>0</v>
      </c>
      <c r="T77" s="93">
        <f t="shared" si="42"/>
        <v>0</v>
      </c>
      <c r="U77" s="103"/>
      <c r="V77" s="46"/>
      <c r="W77" s="46"/>
      <c r="X77" s="46"/>
      <c r="Y77" s="103"/>
      <c r="Z77" s="2">
        <f t="shared" si="43"/>
        <v>0</v>
      </c>
      <c r="AA77" s="2">
        <f t="shared" si="44"/>
        <v>0</v>
      </c>
      <c r="AB77" s="52" t="e">
        <f t="shared" ref="AB77:AB81" si="45">AA77/E77</f>
        <v>#DIV/0!</v>
      </c>
      <c r="AC77" s="46"/>
      <c r="AD77" s="46"/>
      <c r="AE77" s="53"/>
    </row>
    <row r="78" spans="1:32" ht="31.5" x14ac:dyDescent="0.25">
      <c r="A78" s="108" t="s">
        <v>185</v>
      </c>
      <c r="B78" s="107" t="s">
        <v>174</v>
      </c>
      <c r="C78" s="109" t="s">
        <v>175</v>
      </c>
      <c r="D78" s="91">
        <v>0</v>
      </c>
      <c r="E78" s="92">
        <v>0</v>
      </c>
      <c r="F78" s="46"/>
      <c r="G78" s="46"/>
      <c r="H78" s="46"/>
      <c r="I78" s="2">
        <f t="shared" si="3"/>
        <v>0</v>
      </c>
      <c r="J78" s="3">
        <f t="shared" si="41"/>
        <v>0</v>
      </c>
      <c r="K78" s="103"/>
      <c r="L78" s="45"/>
      <c r="M78" s="45"/>
      <c r="N78" s="45"/>
      <c r="O78" s="94">
        <v>0</v>
      </c>
      <c r="P78" s="93"/>
      <c r="Q78" s="93"/>
      <c r="R78" s="93"/>
      <c r="S78" s="2">
        <f t="shared" si="4"/>
        <v>0</v>
      </c>
      <c r="T78" s="93">
        <f t="shared" si="42"/>
        <v>0</v>
      </c>
      <c r="U78" s="103"/>
      <c r="V78" s="46"/>
      <c r="W78" s="46"/>
      <c r="X78" s="46"/>
      <c r="Y78" s="103"/>
      <c r="Z78" s="2">
        <f t="shared" si="43"/>
        <v>0</v>
      </c>
      <c r="AA78" s="2">
        <f t="shared" si="44"/>
        <v>0</v>
      </c>
      <c r="AB78" s="52" t="e">
        <f t="shared" si="45"/>
        <v>#DIV/0!</v>
      </c>
      <c r="AC78" s="46"/>
      <c r="AD78" s="46"/>
      <c r="AE78" s="53"/>
    </row>
    <row r="79" spans="1:32" ht="31.5" x14ac:dyDescent="0.25">
      <c r="A79" s="108" t="s">
        <v>186</v>
      </c>
      <c r="B79" s="107" t="s">
        <v>133</v>
      </c>
      <c r="C79" s="109" t="s">
        <v>134</v>
      </c>
      <c r="D79" s="91">
        <v>0</v>
      </c>
      <c r="E79" s="92">
        <v>0</v>
      </c>
      <c r="F79" s="46"/>
      <c r="G79" s="46"/>
      <c r="H79" s="46"/>
      <c r="I79" s="2">
        <f t="shared" si="3"/>
        <v>0</v>
      </c>
      <c r="J79" s="3">
        <f t="shared" si="41"/>
        <v>0</v>
      </c>
      <c r="K79" s="103"/>
      <c r="L79" s="45"/>
      <c r="M79" s="45"/>
      <c r="N79" s="45"/>
      <c r="O79" s="94">
        <v>0</v>
      </c>
      <c r="P79" s="93"/>
      <c r="Q79" s="93"/>
      <c r="R79" s="93"/>
      <c r="S79" s="2">
        <f t="shared" si="4"/>
        <v>0</v>
      </c>
      <c r="T79" s="93">
        <f t="shared" si="42"/>
        <v>0</v>
      </c>
      <c r="U79" s="103"/>
      <c r="V79" s="46"/>
      <c r="W79" s="47"/>
      <c r="X79" s="46"/>
      <c r="Y79" s="103"/>
      <c r="Z79" s="2">
        <f t="shared" si="43"/>
        <v>0</v>
      </c>
      <c r="AA79" s="2">
        <f t="shared" si="44"/>
        <v>0</v>
      </c>
      <c r="AB79" s="52" t="e">
        <f t="shared" si="45"/>
        <v>#DIV/0!</v>
      </c>
      <c r="AC79" s="46"/>
      <c r="AD79" s="46"/>
      <c r="AE79" s="53" t="s">
        <v>200</v>
      </c>
    </row>
    <row r="80" spans="1:32" ht="31.5" x14ac:dyDescent="0.25">
      <c r="A80" s="108" t="s">
        <v>187</v>
      </c>
      <c r="B80" s="107" t="s">
        <v>176</v>
      </c>
      <c r="C80" s="109" t="s">
        <v>144</v>
      </c>
      <c r="D80" s="91">
        <v>0</v>
      </c>
      <c r="E80" s="92">
        <v>0</v>
      </c>
      <c r="F80" s="46"/>
      <c r="G80" s="46"/>
      <c r="H80" s="46"/>
      <c r="I80" s="2">
        <f t="shared" si="3"/>
        <v>0</v>
      </c>
      <c r="J80" s="3">
        <f t="shared" si="41"/>
        <v>0</v>
      </c>
      <c r="K80" s="103"/>
      <c r="L80" s="45"/>
      <c r="M80" s="45"/>
      <c r="N80" s="45"/>
      <c r="O80" s="94">
        <v>0</v>
      </c>
      <c r="P80" s="93"/>
      <c r="Q80" s="93"/>
      <c r="R80" s="93"/>
      <c r="S80" s="2">
        <f t="shared" si="4"/>
        <v>0</v>
      </c>
      <c r="T80" s="93">
        <f t="shared" si="42"/>
        <v>0</v>
      </c>
      <c r="U80" s="103"/>
      <c r="V80" s="46"/>
      <c r="W80" s="46"/>
      <c r="X80" s="46"/>
      <c r="Y80" s="103"/>
      <c r="Z80" s="2">
        <f t="shared" si="43"/>
        <v>0</v>
      </c>
      <c r="AA80" s="2">
        <f t="shared" si="44"/>
        <v>0</v>
      </c>
      <c r="AB80" s="52" t="e">
        <f t="shared" si="45"/>
        <v>#DIV/0!</v>
      </c>
      <c r="AC80" s="46"/>
      <c r="AD80" s="46"/>
      <c r="AE80" s="53"/>
    </row>
    <row r="81" spans="1:31" ht="15.75" x14ac:dyDescent="0.25">
      <c r="A81" s="108" t="s">
        <v>188</v>
      </c>
      <c r="B81" s="107" t="s">
        <v>122</v>
      </c>
      <c r="C81" s="109" t="s">
        <v>135</v>
      </c>
      <c r="D81" s="91">
        <v>0</v>
      </c>
      <c r="E81" s="92">
        <v>0</v>
      </c>
      <c r="F81" s="46"/>
      <c r="G81" s="46"/>
      <c r="H81" s="46"/>
      <c r="I81" s="2">
        <f t="shared" si="3"/>
        <v>0</v>
      </c>
      <c r="J81" s="3">
        <f t="shared" si="41"/>
        <v>0</v>
      </c>
      <c r="K81" s="103"/>
      <c r="L81" s="45"/>
      <c r="M81" s="45"/>
      <c r="N81" s="45"/>
      <c r="O81" s="94">
        <v>0</v>
      </c>
      <c r="P81" s="93"/>
      <c r="Q81" s="93"/>
      <c r="R81" s="93"/>
      <c r="S81" s="2">
        <f t="shared" si="4"/>
        <v>0</v>
      </c>
      <c r="T81" s="93">
        <f t="shared" si="42"/>
        <v>0</v>
      </c>
      <c r="U81" s="103"/>
      <c r="V81" s="46"/>
      <c r="W81" s="46"/>
      <c r="X81" s="46"/>
      <c r="Y81" s="103"/>
      <c r="Z81" s="2">
        <f t="shared" si="43"/>
        <v>0</v>
      </c>
      <c r="AA81" s="2">
        <f t="shared" si="44"/>
        <v>0</v>
      </c>
      <c r="AB81" s="52" t="e">
        <f t="shared" si="45"/>
        <v>#DIV/0!</v>
      </c>
      <c r="AC81" s="46"/>
      <c r="AD81" s="46"/>
      <c r="AE81" s="53"/>
    </row>
    <row r="82" spans="1:31" ht="15.75" x14ac:dyDescent="0.25">
      <c r="A82" s="108" t="s">
        <v>208</v>
      </c>
      <c r="B82" s="107" t="s">
        <v>177</v>
      </c>
      <c r="C82" s="109" t="s">
        <v>178</v>
      </c>
      <c r="D82" s="91">
        <v>0</v>
      </c>
      <c r="E82" s="92">
        <v>0</v>
      </c>
      <c r="F82" s="46"/>
      <c r="G82" s="46"/>
      <c r="H82" s="46"/>
      <c r="I82" s="2">
        <f t="shared" si="3"/>
        <v>0</v>
      </c>
      <c r="J82" s="3">
        <f t="shared" si="41"/>
        <v>0</v>
      </c>
      <c r="K82" s="103"/>
      <c r="L82" s="45"/>
      <c r="M82" s="45"/>
      <c r="N82" s="45"/>
      <c r="O82" s="94">
        <v>0</v>
      </c>
      <c r="P82" s="93"/>
      <c r="Q82" s="93"/>
      <c r="R82" s="93"/>
      <c r="S82" s="2">
        <f t="shared" si="4"/>
        <v>0</v>
      </c>
      <c r="T82" s="93">
        <f t="shared" si="42"/>
        <v>0</v>
      </c>
      <c r="U82" s="103"/>
      <c r="V82" s="46"/>
      <c r="W82" s="46"/>
      <c r="X82" s="46"/>
      <c r="Y82" s="103"/>
      <c r="Z82" s="2">
        <f t="shared" si="43"/>
        <v>0</v>
      </c>
      <c r="AA82" s="2">
        <f t="shared" ref="AA82:AA90" si="46">J82-E82</f>
        <v>0</v>
      </c>
      <c r="AB82" s="52" t="e">
        <f t="shared" ref="AB82:AB90" si="47">AA82/E82</f>
        <v>#DIV/0!</v>
      </c>
      <c r="AC82" s="46"/>
      <c r="AD82" s="46"/>
      <c r="AE82" s="53"/>
    </row>
    <row r="83" spans="1:31" ht="15.75" x14ac:dyDescent="0.25">
      <c r="A83" s="108" t="s">
        <v>189</v>
      </c>
      <c r="B83" s="107" t="s">
        <v>179</v>
      </c>
      <c r="C83" s="109" t="s">
        <v>145</v>
      </c>
      <c r="D83" s="91">
        <v>0</v>
      </c>
      <c r="E83" s="92">
        <v>0</v>
      </c>
      <c r="F83" s="46"/>
      <c r="G83" s="46"/>
      <c r="H83" s="46"/>
      <c r="I83" s="2">
        <f t="shared" ref="I83:I102" si="48">E83</f>
        <v>0</v>
      </c>
      <c r="J83" s="3">
        <f t="shared" si="41"/>
        <v>0</v>
      </c>
      <c r="K83" s="103"/>
      <c r="L83" s="45"/>
      <c r="M83" s="45"/>
      <c r="N83" s="45"/>
      <c r="O83" s="94">
        <v>0</v>
      </c>
      <c r="P83" s="93"/>
      <c r="Q83" s="93"/>
      <c r="R83" s="93"/>
      <c r="S83" s="2">
        <f t="shared" ref="S83:S102" si="49">O83</f>
        <v>0</v>
      </c>
      <c r="T83" s="93">
        <f t="shared" si="42"/>
        <v>0</v>
      </c>
      <c r="U83" s="103"/>
      <c r="V83" s="46"/>
      <c r="W83" s="3"/>
      <c r="X83" s="46"/>
      <c r="Y83" s="103"/>
      <c r="Z83" s="2">
        <f t="shared" si="43"/>
        <v>0</v>
      </c>
      <c r="AA83" s="2">
        <f t="shared" si="46"/>
        <v>0</v>
      </c>
      <c r="AB83" s="52" t="e">
        <f t="shared" si="47"/>
        <v>#DIV/0!</v>
      </c>
      <c r="AC83" s="46"/>
      <c r="AD83" s="46"/>
      <c r="AE83" s="53"/>
    </row>
    <row r="84" spans="1:31" ht="15.75" x14ac:dyDescent="0.25">
      <c r="A84" s="108" t="s">
        <v>209</v>
      </c>
      <c r="B84" s="107" t="s">
        <v>180</v>
      </c>
      <c r="C84" s="109" t="s">
        <v>181</v>
      </c>
      <c r="D84" s="91">
        <v>1.2479999999999998</v>
      </c>
      <c r="E84" s="92">
        <v>0.624</v>
      </c>
      <c r="F84" s="46"/>
      <c r="G84" s="46"/>
      <c r="H84" s="46"/>
      <c r="I84" s="2">
        <f t="shared" si="48"/>
        <v>0.624</v>
      </c>
      <c r="J84" s="3">
        <f t="shared" si="41"/>
        <v>0.67254677000000007</v>
      </c>
      <c r="K84" s="103">
        <f>672546.77/1000000</f>
        <v>0.67254677000000007</v>
      </c>
      <c r="L84" s="45"/>
      <c r="M84" s="45"/>
      <c r="N84" s="45"/>
      <c r="O84" s="92">
        <v>0.52</v>
      </c>
      <c r="P84" s="93"/>
      <c r="Q84" s="93"/>
      <c r="R84" s="93"/>
      <c r="S84" s="2">
        <f t="shared" si="49"/>
        <v>0.52</v>
      </c>
      <c r="T84" s="106">
        <f t="shared" si="42"/>
        <v>0</v>
      </c>
      <c r="U84" s="103"/>
      <c r="V84" s="46"/>
      <c r="W84" s="47"/>
      <c r="X84" s="47"/>
      <c r="Y84" s="103"/>
      <c r="Z84" s="2">
        <f t="shared" si="43"/>
        <v>-4.8546770000000072E-2</v>
      </c>
      <c r="AA84" s="2">
        <f t="shared" si="46"/>
        <v>4.8546770000000072E-2</v>
      </c>
      <c r="AB84" s="52">
        <f t="shared" si="47"/>
        <v>7.7799310897436011E-2</v>
      </c>
      <c r="AC84" s="46"/>
      <c r="AD84" s="46"/>
      <c r="AE84" s="53"/>
    </row>
    <row r="85" spans="1:31" ht="15.75" x14ac:dyDescent="0.25">
      <c r="A85" s="108" t="s">
        <v>190</v>
      </c>
      <c r="B85" s="107" t="s">
        <v>147</v>
      </c>
      <c r="C85" s="109" t="s">
        <v>148</v>
      </c>
      <c r="D85" s="91">
        <v>0</v>
      </c>
      <c r="E85" s="92">
        <v>0</v>
      </c>
      <c r="F85" s="46"/>
      <c r="G85" s="46"/>
      <c r="H85" s="46"/>
      <c r="I85" s="2">
        <f t="shared" si="48"/>
        <v>0</v>
      </c>
      <c r="J85" s="3">
        <f t="shared" si="41"/>
        <v>0</v>
      </c>
      <c r="K85" s="103"/>
      <c r="L85" s="45"/>
      <c r="M85" s="45"/>
      <c r="N85" s="45"/>
      <c r="O85" s="92">
        <v>0</v>
      </c>
      <c r="P85" s="93"/>
      <c r="Q85" s="93"/>
      <c r="R85" s="93"/>
      <c r="S85" s="2">
        <f t="shared" si="49"/>
        <v>0</v>
      </c>
      <c r="T85" s="93">
        <f t="shared" si="42"/>
        <v>0</v>
      </c>
      <c r="U85" s="103"/>
      <c r="V85" s="47"/>
      <c r="W85" s="46"/>
      <c r="X85" s="46"/>
      <c r="Y85" s="103"/>
      <c r="Z85" s="2">
        <f t="shared" si="43"/>
        <v>0</v>
      </c>
      <c r="AA85" s="2">
        <f t="shared" si="46"/>
        <v>0</v>
      </c>
      <c r="AB85" s="52" t="e">
        <f t="shared" si="47"/>
        <v>#DIV/0!</v>
      </c>
      <c r="AC85" s="46"/>
      <c r="AD85" s="46"/>
      <c r="AE85" s="53"/>
    </row>
    <row r="86" spans="1:31" ht="15.75" x14ac:dyDescent="0.25">
      <c r="A86" s="108" t="s">
        <v>210</v>
      </c>
      <c r="B86" s="107" t="s">
        <v>141</v>
      </c>
      <c r="C86" s="109" t="s">
        <v>143</v>
      </c>
      <c r="D86" s="91">
        <v>0</v>
      </c>
      <c r="E86" s="92">
        <v>0</v>
      </c>
      <c r="F86" s="46"/>
      <c r="G86" s="46"/>
      <c r="H86" s="46"/>
      <c r="I86" s="2">
        <f t="shared" si="48"/>
        <v>0</v>
      </c>
      <c r="J86" s="3">
        <f t="shared" si="41"/>
        <v>0</v>
      </c>
      <c r="K86" s="103"/>
      <c r="L86" s="45"/>
      <c r="M86" s="45"/>
      <c r="N86" s="45"/>
      <c r="O86" s="92">
        <v>0</v>
      </c>
      <c r="P86" s="93"/>
      <c r="Q86" s="93"/>
      <c r="R86" s="93"/>
      <c r="S86" s="2">
        <f t="shared" si="49"/>
        <v>0</v>
      </c>
      <c r="T86" s="93">
        <f t="shared" si="42"/>
        <v>0</v>
      </c>
      <c r="U86" s="103"/>
      <c r="V86" s="47"/>
      <c r="W86" s="46"/>
      <c r="X86" s="46"/>
      <c r="Y86" s="103"/>
      <c r="Z86" s="2">
        <f t="shared" si="43"/>
        <v>0</v>
      </c>
      <c r="AA86" s="2">
        <f t="shared" si="46"/>
        <v>0</v>
      </c>
      <c r="AB86" s="52" t="e">
        <f t="shared" si="47"/>
        <v>#DIV/0!</v>
      </c>
      <c r="AC86" s="46"/>
      <c r="AD86" s="46"/>
      <c r="AE86" s="53"/>
    </row>
    <row r="87" spans="1:31" ht="15.75" x14ac:dyDescent="0.25">
      <c r="A87" s="108" t="s">
        <v>211</v>
      </c>
      <c r="B87" s="107" t="s">
        <v>140</v>
      </c>
      <c r="C87" s="109" t="s">
        <v>146</v>
      </c>
      <c r="D87" s="91">
        <v>0</v>
      </c>
      <c r="E87" s="92">
        <v>0</v>
      </c>
      <c r="F87" s="46"/>
      <c r="G87" s="46"/>
      <c r="H87" s="46"/>
      <c r="I87" s="2">
        <f t="shared" si="48"/>
        <v>0</v>
      </c>
      <c r="J87" s="3">
        <f t="shared" ref="J87:J105" si="50">K87+L87+M87+N87</f>
        <v>0</v>
      </c>
      <c r="K87" s="103"/>
      <c r="L87" s="45"/>
      <c r="M87" s="3"/>
      <c r="N87" s="45"/>
      <c r="O87" s="92">
        <v>0</v>
      </c>
      <c r="P87" s="93"/>
      <c r="Q87" s="93"/>
      <c r="R87" s="93"/>
      <c r="S87" s="2">
        <f t="shared" si="49"/>
        <v>0</v>
      </c>
      <c r="T87" s="93">
        <f t="shared" ref="T87:T102" si="51">U87+V87+W87+X87</f>
        <v>0</v>
      </c>
      <c r="U87" s="103"/>
      <c r="V87" s="46"/>
      <c r="W87" s="3"/>
      <c r="X87" s="46"/>
      <c r="Y87" s="103"/>
      <c r="Z87" s="2">
        <f t="shared" ref="Z87" si="52">E87-J87</f>
        <v>0</v>
      </c>
      <c r="AA87" s="2">
        <f t="shared" ref="AA87" si="53">J87-E87</f>
        <v>0</v>
      </c>
      <c r="AB87" s="52" t="e">
        <f t="shared" ref="AB87" si="54">AA87/E87</f>
        <v>#DIV/0!</v>
      </c>
      <c r="AC87" s="46"/>
      <c r="AD87" s="46"/>
      <c r="AE87" s="53"/>
    </row>
    <row r="88" spans="1:31" ht="15.75" x14ac:dyDescent="0.25">
      <c r="A88" s="108" t="s">
        <v>212</v>
      </c>
      <c r="B88" s="107" t="s">
        <v>213</v>
      </c>
      <c r="C88" s="109" t="s">
        <v>214</v>
      </c>
      <c r="D88" s="91">
        <v>8.6416961953080005</v>
      </c>
      <c r="E88" s="92">
        <v>0.52432666439999998</v>
      </c>
      <c r="F88" s="46"/>
      <c r="G88" s="46"/>
      <c r="H88" s="46"/>
      <c r="I88" s="2">
        <f t="shared" si="48"/>
        <v>0.52432666439999998</v>
      </c>
      <c r="J88" s="3">
        <f t="shared" si="50"/>
        <v>0</v>
      </c>
      <c r="K88" s="103"/>
      <c r="L88" s="45"/>
      <c r="M88" s="3"/>
      <c r="N88" s="45"/>
      <c r="O88" s="92">
        <v>0.436938887</v>
      </c>
      <c r="P88" s="93"/>
      <c r="Q88" s="93"/>
      <c r="R88" s="93"/>
      <c r="S88" s="2">
        <f t="shared" si="49"/>
        <v>0.436938887</v>
      </c>
      <c r="T88" s="93">
        <f t="shared" si="51"/>
        <v>0.37904642499999996</v>
      </c>
      <c r="U88" s="103"/>
      <c r="V88" s="47">
        <v>0.37904642499999996</v>
      </c>
      <c r="W88" s="3"/>
      <c r="X88" s="47"/>
      <c r="Y88" s="103"/>
      <c r="Z88" s="2"/>
      <c r="AA88" s="2"/>
      <c r="AB88" s="52"/>
      <c r="AC88" s="46"/>
      <c r="AD88" s="46"/>
      <c r="AE88" s="53"/>
    </row>
    <row r="89" spans="1:31" ht="15.75" x14ac:dyDescent="0.25">
      <c r="A89" s="108" t="s">
        <v>215</v>
      </c>
      <c r="B89" s="107" t="s">
        <v>216</v>
      </c>
      <c r="C89" s="109" t="s">
        <v>217</v>
      </c>
      <c r="D89" s="91">
        <v>0.49002492000000064</v>
      </c>
      <c r="E89" s="92">
        <v>0.49002491999999997</v>
      </c>
      <c r="F89" s="46"/>
      <c r="G89" s="46"/>
      <c r="H89" s="46"/>
      <c r="I89" s="2">
        <f t="shared" si="48"/>
        <v>0.49002491999999997</v>
      </c>
      <c r="J89" s="3">
        <f t="shared" si="50"/>
        <v>0</v>
      </c>
      <c r="K89" s="103"/>
      <c r="L89" s="45"/>
      <c r="M89" s="3"/>
      <c r="N89" s="45"/>
      <c r="O89" s="92">
        <v>0.4083541</v>
      </c>
      <c r="P89" s="93"/>
      <c r="Q89" s="93"/>
      <c r="R89" s="93"/>
      <c r="S89" s="2">
        <f t="shared" si="49"/>
        <v>0.4083541</v>
      </c>
      <c r="T89" s="93">
        <f t="shared" si="51"/>
        <v>0.37904642499999996</v>
      </c>
      <c r="U89" s="103"/>
      <c r="V89" s="47">
        <v>0.37904642499999996</v>
      </c>
      <c r="W89" s="3"/>
      <c r="X89" s="47"/>
      <c r="Y89" s="103"/>
      <c r="Z89" s="2"/>
      <c r="AA89" s="2"/>
      <c r="AB89" s="52"/>
      <c r="AC89" s="46"/>
      <c r="AD89" s="46"/>
      <c r="AE89" s="53"/>
    </row>
    <row r="90" spans="1:31" ht="15.75" x14ac:dyDescent="0.25">
      <c r="A90" s="108" t="s">
        <v>191</v>
      </c>
      <c r="B90" s="107" t="s">
        <v>192</v>
      </c>
      <c r="C90" s="109" t="s">
        <v>193</v>
      </c>
      <c r="D90" s="91">
        <v>0.65205000000000002</v>
      </c>
      <c r="E90" s="92">
        <v>0.315</v>
      </c>
      <c r="F90" s="46"/>
      <c r="G90" s="46"/>
      <c r="H90" s="46"/>
      <c r="I90" s="2">
        <f t="shared" si="48"/>
        <v>0.315</v>
      </c>
      <c r="J90" s="3">
        <f t="shared" si="50"/>
        <v>8.3176800000000009E-2</v>
      </c>
      <c r="K90" s="103">
        <f>83176.8/1000000</f>
        <v>8.3176800000000009E-2</v>
      </c>
      <c r="L90" s="45"/>
      <c r="M90" s="3"/>
      <c r="N90" s="45"/>
      <c r="O90" s="92">
        <v>0.26250000000000001</v>
      </c>
      <c r="P90" s="93"/>
      <c r="Q90" s="93"/>
      <c r="R90" s="93"/>
      <c r="S90" s="2">
        <f t="shared" si="49"/>
        <v>0.26250000000000001</v>
      </c>
      <c r="T90" s="93">
        <f t="shared" si="51"/>
        <v>0</v>
      </c>
      <c r="U90" s="103"/>
      <c r="V90" s="46"/>
      <c r="W90" s="3"/>
      <c r="X90" s="47"/>
      <c r="Y90" s="103"/>
      <c r="Z90" s="2">
        <f t="shared" si="43"/>
        <v>0.23182320000000001</v>
      </c>
      <c r="AA90" s="2">
        <f t="shared" si="46"/>
        <v>-0.23182320000000001</v>
      </c>
      <c r="AB90" s="52">
        <f t="shared" si="47"/>
        <v>-0.73594666666666664</v>
      </c>
      <c r="AC90" s="46"/>
      <c r="AD90" s="46"/>
      <c r="AE90" s="53"/>
    </row>
    <row r="91" spans="1:31" ht="15.75" x14ac:dyDescent="0.25">
      <c r="A91" s="108" t="s">
        <v>218</v>
      </c>
      <c r="B91" s="107" t="s">
        <v>198</v>
      </c>
      <c r="C91" s="109" t="s">
        <v>199</v>
      </c>
      <c r="D91" s="91">
        <v>0</v>
      </c>
      <c r="E91" s="92">
        <v>0</v>
      </c>
      <c r="F91" s="46"/>
      <c r="G91" s="46"/>
      <c r="H91" s="46"/>
      <c r="I91" s="2">
        <f t="shared" si="48"/>
        <v>0</v>
      </c>
      <c r="J91" s="3">
        <f t="shared" si="50"/>
        <v>2.6150000000000002</v>
      </c>
      <c r="K91" s="103">
        <f>2615000/1000000</f>
        <v>2.6150000000000002</v>
      </c>
      <c r="L91" s="45"/>
      <c r="M91" s="3"/>
      <c r="N91" s="45"/>
      <c r="O91" s="92">
        <v>0</v>
      </c>
      <c r="P91" s="93"/>
      <c r="Q91" s="93"/>
      <c r="R91" s="93"/>
      <c r="S91" s="2">
        <f t="shared" si="49"/>
        <v>0</v>
      </c>
      <c r="T91" s="93">
        <f t="shared" si="51"/>
        <v>2.26791667</v>
      </c>
      <c r="U91" s="103">
        <f>(2179166.67+88750)/1000000</f>
        <v>2.26791667</v>
      </c>
      <c r="V91" s="47"/>
      <c r="W91" s="3"/>
      <c r="X91" s="112"/>
      <c r="Y91" s="103"/>
      <c r="Z91" s="2"/>
      <c r="AA91" s="2"/>
      <c r="AB91" s="52"/>
      <c r="AC91" s="46"/>
      <c r="AD91" s="46"/>
      <c r="AE91" s="53"/>
    </row>
    <row r="92" spans="1:31" ht="15.75" x14ac:dyDescent="0.25">
      <c r="A92" s="108" t="s">
        <v>219</v>
      </c>
      <c r="B92" s="107" t="s">
        <v>221</v>
      </c>
      <c r="C92" s="109" t="s">
        <v>222</v>
      </c>
      <c r="D92" s="91">
        <v>0</v>
      </c>
      <c r="E92" s="92">
        <v>0</v>
      </c>
      <c r="F92" s="46"/>
      <c r="G92" s="46"/>
      <c r="H92" s="46"/>
      <c r="I92" s="2">
        <f t="shared" si="48"/>
        <v>0</v>
      </c>
      <c r="J92" s="3">
        <f t="shared" si="50"/>
        <v>1.851996</v>
      </c>
      <c r="K92" s="103">
        <f>1851996/1000000</f>
        <v>1.851996</v>
      </c>
      <c r="L92" s="45"/>
      <c r="M92" s="3"/>
      <c r="N92" s="45"/>
      <c r="O92" s="92">
        <v>0</v>
      </c>
      <c r="P92" s="93"/>
      <c r="Q92" s="93"/>
      <c r="R92" s="93"/>
      <c r="S92" s="2">
        <f t="shared" si="49"/>
        <v>0</v>
      </c>
      <c r="T92" s="93">
        <f t="shared" si="51"/>
        <v>13.987424189999999</v>
      </c>
      <c r="U92" s="103"/>
      <c r="V92" s="47">
        <v>13.987424189999999</v>
      </c>
      <c r="W92" s="3"/>
      <c r="X92" s="46"/>
      <c r="Y92" s="103"/>
      <c r="Z92" s="2"/>
      <c r="AA92" s="2"/>
      <c r="AB92" s="52"/>
      <c r="AC92" s="46"/>
      <c r="AD92" s="46"/>
      <c r="AE92" s="53"/>
    </row>
    <row r="93" spans="1:31" ht="17.25" customHeight="1" x14ac:dyDescent="0.25">
      <c r="A93" s="108" t="s">
        <v>220</v>
      </c>
      <c r="B93" s="46" t="s">
        <v>194</v>
      </c>
      <c r="C93" s="110" t="s">
        <v>195</v>
      </c>
      <c r="D93" s="91">
        <v>0</v>
      </c>
      <c r="E93" s="92">
        <v>0</v>
      </c>
      <c r="F93" s="46"/>
      <c r="G93" s="46"/>
      <c r="H93" s="46"/>
      <c r="I93" s="2">
        <f t="shared" si="48"/>
        <v>0</v>
      </c>
      <c r="J93" s="3">
        <f t="shared" si="50"/>
        <v>0</v>
      </c>
      <c r="K93" s="103"/>
      <c r="L93" s="105"/>
      <c r="M93" s="46"/>
      <c r="N93" s="46"/>
      <c r="O93" s="92">
        <v>0</v>
      </c>
      <c r="P93" s="46"/>
      <c r="Q93" s="46"/>
      <c r="R93" s="46"/>
      <c r="S93" s="2">
        <f t="shared" si="49"/>
        <v>0</v>
      </c>
      <c r="T93" s="93">
        <f t="shared" si="51"/>
        <v>3.3905080000000004E-2</v>
      </c>
      <c r="U93" s="103"/>
      <c r="V93" s="47">
        <v>3.3905080000000004E-2</v>
      </c>
      <c r="W93" s="46"/>
      <c r="X93" s="46"/>
      <c r="Y93" s="103"/>
      <c r="Z93" s="2">
        <f t="shared" ref="Z93:Z109" si="55">E93-J93</f>
        <v>0</v>
      </c>
      <c r="AA93" s="2">
        <f t="shared" ref="AA93:AA109" si="56">J93-E93</f>
        <v>0</v>
      </c>
      <c r="AB93" s="52" t="e">
        <f t="shared" ref="AB93:AB109" si="57">AA93/E93</f>
        <v>#DIV/0!</v>
      </c>
      <c r="AC93" s="46"/>
      <c r="AD93" s="46"/>
      <c r="AE93" s="53"/>
    </row>
    <row r="94" spans="1:31" ht="17.25" customHeight="1" x14ac:dyDescent="0.25">
      <c r="A94" s="108" t="s">
        <v>223</v>
      </c>
      <c r="B94" s="46" t="s">
        <v>196</v>
      </c>
      <c r="C94" s="110" t="s">
        <v>197</v>
      </c>
      <c r="D94" s="91">
        <v>0</v>
      </c>
      <c r="E94" s="92">
        <v>0</v>
      </c>
      <c r="F94" s="46"/>
      <c r="G94" s="46"/>
      <c r="H94" s="46"/>
      <c r="I94" s="2">
        <f t="shared" si="48"/>
        <v>0</v>
      </c>
      <c r="J94" s="3">
        <f t="shared" si="50"/>
        <v>0</v>
      </c>
      <c r="K94" s="103"/>
      <c r="L94" s="105"/>
      <c r="M94" s="46"/>
      <c r="N94" s="46"/>
      <c r="O94" s="92">
        <v>0</v>
      </c>
      <c r="P94" s="46"/>
      <c r="Q94" s="46"/>
      <c r="R94" s="46"/>
      <c r="S94" s="2">
        <f t="shared" si="49"/>
        <v>0</v>
      </c>
      <c r="T94" s="93">
        <f t="shared" si="51"/>
        <v>0</v>
      </c>
      <c r="U94" s="103"/>
      <c r="V94" s="46"/>
      <c r="W94" s="46"/>
      <c r="X94" s="46"/>
      <c r="Y94" s="103"/>
      <c r="Z94" s="2">
        <f t="shared" si="55"/>
        <v>0</v>
      </c>
      <c r="AA94" s="2">
        <f t="shared" si="56"/>
        <v>0</v>
      </c>
      <c r="AB94" s="52" t="e">
        <f t="shared" si="57"/>
        <v>#DIV/0!</v>
      </c>
      <c r="AC94" s="46"/>
      <c r="AD94" s="46"/>
      <c r="AE94" s="53"/>
    </row>
    <row r="95" spans="1:31" ht="17.25" customHeight="1" x14ac:dyDescent="0.25">
      <c r="A95" s="108" t="s">
        <v>224</v>
      </c>
      <c r="B95" s="46" t="s">
        <v>225</v>
      </c>
      <c r="C95" s="110" t="s">
        <v>226</v>
      </c>
      <c r="D95" s="91">
        <v>0</v>
      </c>
      <c r="E95" s="92">
        <v>0</v>
      </c>
      <c r="F95" s="46"/>
      <c r="G95" s="46"/>
      <c r="H95" s="46"/>
      <c r="I95" s="2">
        <f t="shared" si="48"/>
        <v>0</v>
      </c>
      <c r="J95" s="3">
        <f t="shared" si="50"/>
        <v>10.339556</v>
      </c>
      <c r="K95" s="103">
        <f>5639556/1000000</f>
        <v>5.6395559999999998</v>
      </c>
      <c r="L95" s="105">
        <v>4.7</v>
      </c>
      <c r="M95" s="46"/>
      <c r="N95" s="46"/>
      <c r="O95" s="92">
        <v>0</v>
      </c>
      <c r="P95" s="46"/>
      <c r="Q95" s="46"/>
      <c r="R95" s="46"/>
      <c r="S95" s="2">
        <f t="shared" si="49"/>
        <v>0</v>
      </c>
      <c r="T95" s="93">
        <f t="shared" si="51"/>
        <v>9.7940629799999996</v>
      </c>
      <c r="U95" s="103">
        <f>4699630/1000000</f>
        <v>4.69963</v>
      </c>
      <c r="V95" s="47">
        <v>5.0944329799999997</v>
      </c>
      <c r="W95" s="46"/>
      <c r="X95" s="46"/>
      <c r="Y95" s="103"/>
      <c r="Z95" s="2"/>
      <c r="AA95" s="2"/>
      <c r="AB95" s="52"/>
      <c r="AC95" s="46"/>
      <c r="AD95" s="46"/>
      <c r="AE95" s="53"/>
    </row>
    <row r="96" spans="1:31" ht="17.25" customHeight="1" x14ac:dyDescent="0.25">
      <c r="A96" s="108" t="s">
        <v>227</v>
      </c>
      <c r="B96" s="46" t="s">
        <v>228</v>
      </c>
      <c r="C96" s="110" t="s">
        <v>229</v>
      </c>
      <c r="D96" s="91">
        <v>0</v>
      </c>
      <c r="E96" s="92">
        <v>0</v>
      </c>
      <c r="F96" s="46"/>
      <c r="G96" s="46"/>
      <c r="H96" s="46"/>
      <c r="I96" s="2">
        <f t="shared" si="48"/>
        <v>0</v>
      </c>
      <c r="J96" s="3">
        <f t="shared" si="50"/>
        <v>0</v>
      </c>
      <c r="K96" s="103"/>
      <c r="L96" s="105"/>
      <c r="M96" s="46"/>
      <c r="N96" s="46"/>
      <c r="O96" s="92">
        <v>0</v>
      </c>
      <c r="P96" s="46"/>
      <c r="Q96" s="46"/>
      <c r="R96" s="46"/>
      <c r="S96" s="2">
        <f t="shared" si="49"/>
        <v>0</v>
      </c>
      <c r="T96" s="93">
        <f t="shared" si="51"/>
        <v>0</v>
      </c>
      <c r="U96" s="103"/>
      <c r="V96" s="46"/>
      <c r="W96" s="46"/>
      <c r="X96" s="47"/>
      <c r="Y96" s="103"/>
      <c r="Z96" s="2"/>
      <c r="AA96" s="2"/>
      <c r="AB96" s="52"/>
      <c r="AC96" s="46"/>
      <c r="AD96" s="46"/>
      <c r="AE96" s="53"/>
    </row>
    <row r="97" spans="1:31" ht="17.25" customHeight="1" x14ac:dyDescent="0.25">
      <c r="A97" s="108" t="s">
        <v>230</v>
      </c>
      <c r="B97" s="46" t="s">
        <v>231</v>
      </c>
      <c r="C97" s="110" t="s">
        <v>232</v>
      </c>
      <c r="D97" s="91">
        <v>0</v>
      </c>
      <c r="E97" s="92">
        <v>0</v>
      </c>
      <c r="F97" s="46"/>
      <c r="G97" s="46"/>
      <c r="H97" s="46"/>
      <c r="I97" s="2">
        <f t="shared" si="48"/>
        <v>0</v>
      </c>
      <c r="J97" s="3">
        <f t="shared" si="50"/>
        <v>2.5671999959999998</v>
      </c>
      <c r="K97" s="103">
        <f>2567199.996/1000000</f>
        <v>2.5671999959999998</v>
      </c>
      <c r="L97" s="105"/>
      <c r="M97" s="46"/>
      <c r="N97" s="46"/>
      <c r="O97" s="92">
        <v>0</v>
      </c>
      <c r="P97" s="46"/>
      <c r="Q97" s="46"/>
      <c r="R97" s="46"/>
      <c r="S97" s="2">
        <f t="shared" si="49"/>
        <v>0</v>
      </c>
      <c r="T97" s="93">
        <f t="shared" si="51"/>
        <v>2.1393333299999999</v>
      </c>
      <c r="U97" s="103">
        <f>2139333.33/1000000</f>
        <v>2.1393333299999999</v>
      </c>
      <c r="V97" s="46"/>
      <c r="W97" s="46"/>
      <c r="X97" s="46"/>
      <c r="Y97" s="103"/>
      <c r="Z97" s="2"/>
      <c r="AA97" s="2"/>
      <c r="AB97" s="52"/>
      <c r="AC97" s="46"/>
      <c r="AD97" s="46"/>
      <c r="AE97" s="53"/>
    </row>
    <row r="98" spans="1:31" ht="17.25" customHeight="1" x14ac:dyDescent="0.25">
      <c r="A98" s="108" t="s">
        <v>233</v>
      </c>
      <c r="B98" s="46" t="s">
        <v>234</v>
      </c>
      <c r="C98" s="110" t="s">
        <v>235</v>
      </c>
      <c r="D98" s="91">
        <v>0</v>
      </c>
      <c r="E98" s="92">
        <v>0</v>
      </c>
      <c r="F98" s="46"/>
      <c r="G98" s="46"/>
      <c r="H98" s="46"/>
      <c r="I98" s="2">
        <f t="shared" si="48"/>
        <v>0</v>
      </c>
      <c r="J98" s="3">
        <f t="shared" si="50"/>
        <v>0</v>
      </c>
      <c r="K98" s="103"/>
      <c r="L98" s="105"/>
      <c r="M98" s="46"/>
      <c r="N98" s="46"/>
      <c r="O98" s="92">
        <v>0</v>
      </c>
      <c r="P98" s="46"/>
      <c r="Q98" s="46"/>
      <c r="R98" s="46"/>
      <c r="S98" s="2">
        <f t="shared" si="49"/>
        <v>0</v>
      </c>
      <c r="T98" s="93">
        <f t="shared" si="51"/>
        <v>0</v>
      </c>
      <c r="U98" s="103"/>
      <c r="V98" s="46"/>
      <c r="W98" s="46"/>
      <c r="X98" s="46"/>
      <c r="Y98" s="103"/>
      <c r="Z98" s="2"/>
      <c r="AA98" s="2"/>
      <c r="AB98" s="52"/>
      <c r="AC98" s="46"/>
      <c r="AD98" s="46"/>
      <c r="AE98" s="53"/>
    </row>
    <row r="99" spans="1:31" ht="17.25" customHeight="1" x14ac:dyDescent="0.25">
      <c r="A99" s="108" t="s">
        <v>236</v>
      </c>
      <c r="B99" s="46" t="s">
        <v>237</v>
      </c>
      <c r="C99" s="110" t="s">
        <v>238</v>
      </c>
      <c r="D99" s="91">
        <v>0</v>
      </c>
      <c r="E99" s="92">
        <v>0</v>
      </c>
      <c r="F99" s="46"/>
      <c r="G99" s="46"/>
      <c r="H99" s="46"/>
      <c r="I99" s="2">
        <f t="shared" si="48"/>
        <v>0</v>
      </c>
      <c r="J99" s="3">
        <f t="shared" si="50"/>
        <v>13.591200000000001</v>
      </c>
      <c r="K99" s="103">
        <f>13591200/1000000</f>
        <v>13.591200000000001</v>
      </c>
      <c r="L99" s="105"/>
      <c r="M99" s="46"/>
      <c r="N99" s="46"/>
      <c r="O99" s="92">
        <v>0</v>
      </c>
      <c r="P99" s="46"/>
      <c r="Q99" s="46"/>
      <c r="R99" s="46"/>
      <c r="S99" s="2">
        <f t="shared" si="49"/>
        <v>0</v>
      </c>
      <c r="T99" s="93">
        <f t="shared" si="51"/>
        <v>12.267540582500001</v>
      </c>
      <c r="U99" s="103">
        <f>11326000/1000000</f>
        <v>11.326000000000001</v>
      </c>
      <c r="V99" s="47">
        <v>0.94154058249999995</v>
      </c>
      <c r="W99" s="46"/>
      <c r="X99" s="46"/>
      <c r="Y99" s="103"/>
      <c r="Z99" s="2"/>
      <c r="AA99" s="2"/>
      <c r="AB99" s="52"/>
      <c r="AC99" s="46"/>
      <c r="AD99" s="46"/>
      <c r="AE99" s="53"/>
    </row>
    <row r="100" spans="1:31" ht="17.25" customHeight="1" x14ac:dyDescent="0.25">
      <c r="A100" s="108" t="s">
        <v>239</v>
      </c>
      <c r="B100" s="46" t="s">
        <v>240</v>
      </c>
      <c r="C100" s="110" t="s">
        <v>241</v>
      </c>
      <c r="D100" s="91">
        <v>0</v>
      </c>
      <c r="E100" s="92">
        <v>0</v>
      </c>
      <c r="F100" s="46"/>
      <c r="G100" s="46"/>
      <c r="H100" s="46"/>
      <c r="I100" s="2">
        <f t="shared" si="48"/>
        <v>0</v>
      </c>
      <c r="J100" s="3">
        <f t="shared" si="50"/>
        <v>1.9416</v>
      </c>
      <c r="K100" s="103">
        <f>1941600/1000000</f>
        <v>1.9416</v>
      </c>
      <c r="L100" s="105"/>
      <c r="M100" s="46"/>
      <c r="N100" s="46"/>
      <c r="O100" s="92">
        <v>0</v>
      </c>
      <c r="P100" s="46"/>
      <c r="Q100" s="46"/>
      <c r="R100" s="46"/>
      <c r="S100" s="2">
        <f t="shared" si="49"/>
        <v>0</v>
      </c>
      <c r="T100" s="93">
        <f t="shared" si="51"/>
        <v>1.7525057975</v>
      </c>
      <c r="U100" s="103">
        <f>1618000/1000000</f>
        <v>1.6180000000000001</v>
      </c>
      <c r="V100" s="47">
        <v>0.1345057975</v>
      </c>
      <c r="W100" s="46"/>
      <c r="X100" s="46"/>
      <c r="Y100" s="103"/>
      <c r="Z100" s="2"/>
      <c r="AA100" s="2"/>
      <c r="AB100" s="52"/>
      <c r="AC100" s="46"/>
      <c r="AD100" s="46"/>
      <c r="AE100" s="53"/>
    </row>
    <row r="101" spans="1:31" ht="17.25" customHeight="1" x14ac:dyDescent="0.25">
      <c r="A101" s="108" t="s">
        <v>242</v>
      </c>
      <c r="B101" s="46" t="s">
        <v>243</v>
      </c>
      <c r="C101" s="110" t="s">
        <v>244</v>
      </c>
      <c r="D101" s="91">
        <v>0</v>
      </c>
      <c r="E101" s="92">
        <v>0</v>
      </c>
      <c r="F101" s="46"/>
      <c r="G101" s="46"/>
      <c r="H101" s="46"/>
      <c r="I101" s="2">
        <f t="shared" si="48"/>
        <v>0</v>
      </c>
      <c r="J101" s="3">
        <f t="shared" si="50"/>
        <v>0</v>
      </c>
      <c r="K101" s="103"/>
      <c r="L101" s="105"/>
      <c r="M101" s="46"/>
      <c r="N101" s="46"/>
      <c r="O101" s="92">
        <v>0</v>
      </c>
      <c r="P101" s="46"/>
      <c r="Q101" s="46"/>
      <c r="R101" s="46"/>
      <c r="S101" s="2">
        <f t="shared" si="49"/>
        <v>0</v>
      </c>
      <c r="T101" s="93">
        <f t="shared" si="51"/>
        <v>0</v>
      </c>
      <c r="U101" s="103"/>
      <c r="V101" s="46"/>
      <c r="W101" s="46"/>
      <c r="X101" s="46"/>
      <c r="Y101" s="103"/>
      <c r="Z101" s="2"/>
      <c r="AA101" s="2"/>
      <c r="AB101" s="52"/>
      <c r="AC101" s="46"/>
      <c r="AD101" s="46"/>
      <c r="AE101" s="53"/>
    </row>
    <row r="102" spans="1:31" ht="17.25" customHeight="1" x14ac:dyDescent="0.25">
      <c r="A102" s="108" t="s">
        <v>245</v>
      </c>
      <c r="B102" s="46" t="s">
        <v>246</v>
      </c>
      <c r="C102" s="110" t="s">
        <v>247</v>
      </c>
      <c r="D102" s="91">
        <v>0</v>
      </c>
      <c r="E102" s="92">
        <v>0</v>
      </c>
      <c r="F102" s="46"/>
      <c r="G102" s="46"/>
      <c r="H102" s="46"/>
      <c r="I102" s="2">
        <f t="shared" si="48"/>
        <v>0</v>
      </c>
      <c r="J102" s="3">
        <f t="shared" si="50"/>
        <v>0</v>
      </c>
      <c r="K102" s="103"/>
      <c r="L102" s="105"/>
      <c r="M102" s="46"/>
      <c r="N102" s="47"/>
      <c r="O102" s="92">
        <v>0</v>
      </c>
      <c r="P102" s="46"/>
      <c r="Q102" s="46"/>
      <c r="R102" s="46"/>
      <c r="S102" s="2">
        <f t="shared" si="49"/>
        <v>0</v>
      </c>
      <c r="T102" s="93">
        <f t="shared" si="51"/>
        <v>0</v>
      </c>
      <c r="U102" s="103"/>
      <c r="V102" s="46"/>
      <c r="W102" s="46"/>
      <c r="X102" s="47"/>
      <c r="Y102" s="103"/>
      <c r="Z102" s="2"/>
      <c r="AA102" s="2"/>
      <c r="AB102" s="52"/>
      <c r="AC102" s="46"/>
      <c r="AD102" s="46"/>
      <c r="AE102" s="53"/>
    </row>
    <row r="103" spans="1:31" ht="17.25" customHeight="1" x14ac:dyDescent="0.25">
      <c r="A103" s="108" t="s">
        <v>258</v>
      </c>
      <c r="B103" s="46" t="s">
        <v>265</v>
      </c>
      <c r="C103" s="110" t="s">
        <v>266</v>
      </c>
      <c r="D103" s="91">
        <v>0</v>
      </c>
      <c r="E103" s="92">
        <v>0</v>
      </c>
      <c r="F103" s="46"/>
      <c r="G103" s="46"/>
      <c r="H103" s="46"/>
      <c r="I103" s="2">
        <f t="shared" ref="I103:I104" si="58">E103</f>
        <v>0</v>
      </c>
      <c r="J103" s="3">
        <f t="shared" ref="J103:J104" si="59">K103+L103+M103+N103</f>
        <v>0.10540250000000001</v>
      </c>
      <c r="K103" s="103">
        <f>44513.3/1000000</f>
        <v>4.4513300000000006E-2</v>
      </c>
      <c r="L103" s="105">
        <v>6.0889199999999997E-2</v>
      </c>
      <c r="M103" s="46"/>
      <c r="N103" s="47"/>
      <c r="O103" s="92">
        <v>0</v>
      </c>
      <c r="P103" s="46"/>
      <c r="Q103" s="46"/>
      <c r="R103" s="46"/>
      <c r="S103" s="2">
        <f t="shared" ref="S103:S105" si="60">O103</f>
        <v>0</v>
      </c>
      <c r="T103" s="93">
        <f t="shared" ref="T103:T105" si="61">U103+V103+W103+X103</f>
        <v>0.14915329999999999</v>
      </c>
      <c r="U103" s="103">
        <f>44513.3/1000000</f>
        <v>4.4513300000000006E-2</v>
      </c>
      <c r="V103" s="47">
        <v>0.10464</v>
      </c>
      <c r="W103" s="46"/>
      <c r="X103" s="47"/>
      <c r="Y103" s="103"/>
      <c r="Z103" s="2"/>
      <c r="AA103" s="2"/>
      <c r="AB103" s="52"/>
      <c r="AC103" s="46"/>
      <c r="AD103" s="46"/>
      <c r="AE103" s="53"/>
    </row>
    <row r="104" spans="1:31" ht="17.25" customHeight="1" x14ac:dyDescent="0.25">
      <c r="A104" s="108" t="s">
        <v>261</v>
      </c>
      <c r="B104" s="46" t="s">
        <v>263</v>
      </c>
      <c r="C104" s="110" t="s">
        <v>264</v>
      </c>
      <c r="D104" s="91">
        <v>0</v>
      </c>
      <c r="E104" s="92">
        <v>0</v>
      </c>
      <c r="F104" s="46"/>
      <c r="G104" s="46"/>
      <c r="H104" s="46"/>
      <c r="I104" s="2">
        <f t="shared" si="58"/>
        <v>0</v>
      </c>
      <c r="J104" s="3">
        <f t="shared" si="59"/>
        <v>0.45600000000000002</v>
      </c>
      <c r="K104" s="103">
        <f>456000/1000000</f>
        <v>0.45600000000000002</v>
      </c>
      <c r="L104" s="105"/>
      <c r="M104" s="46"/>
      <c r="N104" s="47"/>
      <c r="O104" s="92">
        <v>0</v>
      </c>
      <c r="P104" s="46"/>
      <c r="Q104" s="46"/>
      <c r="R104" s="46"/>
      <c r="S104" s="2">
        <f t="shared" si="60"/>
        <v>0</v>
      </c>
      <c r="T104" s="93">
        <f t="shared" si="61"/>
        <v>0.45600000000000002</v>
      </c>
      <c r="U104" s="103">
        <f>456000/1000000</f>
        <v>0.45600000000000002</v>
      </c>
      <c r="V104" s="46"/>
      <c r="W104" s="46"/>
      <c r="X104" s="47"/>
      <c r="Y104" s="103"/>
      <c r="Z104" s="2"/>
      <c r="AA104" s="2"/>
      <c r="AB104" s="52"/>
      <c r="AC104" s="46"/>
      <c r="AD104" s="46"/>
      <c r="AE104" s="53"/>
    </row>
    <row r="105" spans="1:31" ht="17.25" customHeight="1" x14ac:dyDescent="0.25">
      <c r="A105" s="108" t="s">
        <v>262</v>
      </c>
      <c r="B105" s="46" t="s">
        <v>259</v>
      </c>
      <c r="C105" s="110" t="s">
        <v>260</v>
      </c>
      <c r="D105" s="91">
        <v>0</v>
      </c>
      <c r="E105" s="92">
        <v>0</v>
      </c>
      <c r="F105" s="46"/>
      <c r="G105" s="46"/>
      <c r="H105" s="46"/>
      <c r="I105" s="46"/>
      <c r="J105" s="3">
        <f t="shared" si="50"/>
        <v>2.5671999959999998</v>
      </c>
      <c r="K105" s="103">
        <f>2567199.996/1000000</f>
        <v>2.5671999959999998</v>
      </c>
      <c r="L105" s="105"/>
      <c r="M105" s="46"/>
      <c r="N105" s="46"/>
      <c r="O105" s="92">
        <v>0</v>
      </c>
      <c r="P105" s="46"/>
      <c r="Q105" s="46"/>
      <c r="R105" s="46"/>
      <c r="S105" s="2">
        <f t="shared" si="60"/>
        <v>0</v>
      </c>
      <c r="T105" s="93">
        <f t="shared" si="61"/>
        <v>2.6574147999999997</v>
      </c>
      <c r="U105" s="103">
        <f>2139333.33/1000000</f>
        <v>2.1393333299999999</v>
      </c>
      <c r="V105" s="47">
        <v>0.51808146999999993</v>
      </c>
      <c r="W105" s="46"/>
      <c r="X105" s="46"/>
      <c r="Y105" s="103"/>
      <c r="Z105" s="2"/>
      <c r="AA105" s="2"/>
      <c r="AB105" s="52"/>
      <c r="AC105" s="46"/>
      <c r="AD105" s="46"/>
      <c r="AE105" s="53"/>
    </row>
    <row r="106" spans="1:31" ht="17.25" hidden="1" customHeight="1" x14ac:dyDescent="0.25">
      <c r="A106" s="108"/>
      <c r="B106" s="46"/>
      <c r="C106" s="110"/>
      <c r="D106" s="91"/>
      <c r="E106" s="92"/>
      <c r="F106" s="46"/>
      <c r="G106" s="46"/>
      <c r="H106" s="46"/>
      <c r="I106" s="46"/>
      <c r="J106" s="3"/>
      <c r="K106" s="103"/>
      <c r="L106" s="105"/>
      <c r="M106" s="46"/>
      <c r="N106" s="46"/>
      <c r="O106" s="92"/>
      <c r="P106" s="46"/>
      <c r="Q106" s="46"/>
      <c r="R106" s="46"/>
      <c r="S106" s="46"/>
      <c r="T106" s="93"/>
      <c r="U106" s="46"/>
      <c r="V106" s="46"/>
      <c r="W106" s="46"/>
      <c r="X106" s="46"/>
      <c r="Y106" s="103"/>
      <c r="Z106" s="2"/>
      <c r="AA106" s="2"/>
      <c r="AB106" s="52"/>
      <c r="AC106" s="46"/>
      <c r="AD106" s="46"/>
      <c r="AE106" s="53"/>
    </row>
    <row r="107" spans="1:31" ht="17.25" hidden="1" customHeight="1" x14ac:dyDescent="0.25">
      <c r="A107" s="108"/>
      <c r="B107" s="46"/>
      <c r="C107" s="110"/>
      <c r="D107" s="91"/>
      <c r="E107" s="92"/>
      <c r="F107" s="46"/>
      <c r="G107" s="46"/>
      <c r="H107" s="46"/>
      <c r="I107" s="46"/>
      <c r="J107" s="3"/>
      <c r="K107" s="103"/>
      <c r="L107" s="105"/>
      <c r="M107" s="46"/>
      <c r="N107" s="46"/>
      <c r="O107" s="92"/>
      <c r="P107" s="46"/>
      <c r="Q107" s="46"/>
      <c r="R107" s="46"/>
      <c r="S107" s="46"/>
      <c r="T107" s="93"/>
      <c r="U107" s="46"/>
      <c r="V107" s="46"/>
      <c r="W107" s="46"/>
      <c r="X107" s="46"/>
      <c r="Y107" s="103"/>
      <c r="Z107" s="2"/>
      <c r="AA107" s="2"/>
      <c r="AB107" s="52"/>
      <c r="AC107" s="46"/>
      <c r="AD107" s="46"/>
      <c r="AE107" s="53"/>
    </row>
    <row r="108" spans="1:31" ht="17.25" hidden="1" customHeight="1" x14ac:dyDescent="0.25">
      <c r="A108" s="108"/>
      <c r="B108" s="46"/>
      <c r="C108" s="110"/>
      <c r="D108" s="91"/>
      <c r="E108" s="92"/>
      <c r="F108" s="46"/>
      <c r="G108" s="46"/>
      <c r="H108" s="46"/>
      <c r="I108" s="46"/>
      <c r="J108" s="3"/>
      <c r="K108" s="103"/>
      <c r="L108" s="105"/>
      <c r="M108" s="46"/>
      <c r="N108" s="46"/>
      <c r="O108" s="92"/>
      <c r="P108" s="46"/>
      <c r="Q108" s="46"/>
      <c r="R108" s="46"/>
      <c r="S108" s="46"/>
      <c r="T108" s="93"/>
      <c r="U108" s="46"/>
      <c r="V108" s="46"/>
      <c r="W108" s="46"/>
      <c r="X108" s="46"/>
      <c r="Y108" s="103"/>
      <c r="Z108" s="2"/>
      <c r="AA108" s="2"/>
      <c r="AB108" s="52"/>
      <c r="AC108" s="46"/>
      <c r="AD108" s="46"/>
      <c r="AE108" s="53"/>
    </row>
    <row r="109" spans="1:31" ht="17.25" hidden="1" customHeight="1" x14ac:dyDescent="0.25">
      <c r="A109" s="46"/>
      <c r="B109" s="46"/>
      <c r="C109" s="110"/>
      <c r="D109" s="46"/>
      <c r="E109" s="95"/>
      <c r="F109" s="46"/>
      <c r="G109" s="46"/>
      <c r="H109" s="46"/>
      <c r="I109" s="46"/>
      <c r="J109" s="46"/>
      <c r="K109" s="103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103"/>
      <c r="Z109" s="2">
        <f t="shared" si="55"/>
        <v>0</v>
      </c>
      <c r="AA109" s="2">
        <f t="shared" si="56"/>
        <v>0</v>
      </c>
      <c r="AB109" s="52" t="e">
        <f t="shared" si="57"/>
        <v>#DIV/0!</v>
      </c>
      <c r="AC109" s="46"/>
      <c r="AD109" s="46"/>
      <c r="AE109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29" t="s">
        <v>253</v>
      </c>
      <c r="B6" s="130"/>
      <c r="C6" s="130"/>
      <c r="D6" s="130"/>
      <c r="E6" s="130"/>
      <c r="F6" s="130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248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31" t="s">
        <v>22</v>
      </c>
      <c r="B14" s="132" t="s">
        <v>23</v>
      </c>
      <c r="C14" s="133" t="s">
        <v>24</v>
      </c>
      <c r="D14" s="133"/>
      <c r="E14" s="133" t="s">
        <v>25</v>
      </c>
      <c r="F14" s="133"/>
    </row>
    <row r="15" spans="1:6" ht="18" customHeight="1" x14ac:dyDescent="0.25">
      <c r="A15" s="131"/>
      <c r="B15" s="132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31"/>
      <c r="B16" s="132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31"/>
      <c r="B17" s="132"/>
      <c r="C17" s="12" t="s">
        <v>254</v>
      </c>
      <c r="D17" s="12" t="s">
        <v>254</v>
      </c>
      <c r="E17" s="12" t="s">
        <v>254</v>
      </c>
      <c r="F17" s="12" t="s">
        <v>254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160</v>
      </c>
      <c r="B45" s="31" t="s">
        <v>149</v>
      </c>
      <c r="C45" s="3">
        <v>0</v>
      </c>
      <c r="D45" s="3"/>
      <c r="E45" s="16"/>
      <c r="F45" s="16"/>
    </row>
    <row r="46" spans="1:6" ht="31.5" x14ac:dyDescent="0.25">
      <c r="A46" s="36" t="s">
        <v>161</v>
      </c>
      <c r="B46" s="34" t="s">
        <v>151</v>
      </c>
      <c r="C46" s="3">
        <v>0</v>
      </c>
      <c r="D46" s="3"/>
      <c r="E46" s="16"/>
      <c r="F46" s="16"/>
    </row>
    <row r="47" spans="1:6" ht="31.5" x14ac:dyDescent="0.25">
      <c r="A47" s="36" t="s">
        <v>162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163</v>
      </c>
      <c r="B48" s="34" t="s">
        <v>129</v>
      </c>
      <c r="C48" s="3">
        <v>0</v>
      </c>
      <c r="D48" s="3"/>
      <c r="E48" s="16"/>
      <c r="F48" s="16"/>
    </row>
    <row r="49" spans="1:6" ht="47.25" x14ac:dyDescent="0.25">
      <c r="A49" s="36" t="s">
        <v>164</v>
      </c>
      <c r="B49" s="34" t="s">
        <v>182</v>
      </c>
      <c r="C49" s="3">
        <v>0</v>
      </c>
      <c r="D49" s="3"/>
      <c r="E49" s="16"/>
      <c r="F49" s="16"/>
    </row>
    <row r="50" spans="1:6" ht="31.5" x14ac:dyDescent="0.25">
      <c r="A50" s="36" t="s">
        <v>165</v>
      </c>
      <c r="B50" s="31" t="s">
        <v>153</v>
      </c>
      <c r="C50" s="3">
        <v>0</v>
      </c>
      <c r="D50" s="3"/>
      <c r="E50" s="16"/>
      <c r="F50" s="16"/>
    </row>
    <row r="51" spans="1:6" x14ac:dyDescent="0.25">
      <c r="A51" s="36" t="s">
        <v>166</v>
      </c>
      <c r="B51" s="31" t="s">
        <v>155</v>
      </c>
      <c r="C51" s="3">
        <v>0</v>
      </c>
      <c r="D51" s="3"/>
      <c r="E51" s="16"/>
      <c r="F51" s="16"/>
    </row>
    <row r="52" spans="1:6" ht="31.5" x14ac:dyDescent="0.25">
      <c r="A52" s="36" t="s">
        <v>167</v>
      </c>
      <c r="B52" s="31" t="s">
        <v>156</v>
      </c>
      <c r="C52" s="3">
        <v>0</v>
      </c>
      <c r="D52" s="3"/>
      <c r="E52" s="16"/>
      <c r="F52" s="16"/>
    </row>
    <row r="53" spans="1:6" ht="31.5" x14ac:dyDescent="0.25">
      <c r="A53" s="36" t="s">
        <v>168</v>
      </c>
      <c r="B53" s="31" t="s">
        <v>158</v>
      </c>
      <c r="C53" s="3">
        <v>0</v>
      </c>
      <c r="D53" s="3"/>
      <c r="E53" s="16"/>
      <c r="F53" s="16"/>
    </row>
    <row r="54" spans="1:6" ht="31.5" x14ac:dyDescent="0.25">
      <c r="A54" s="36" t="s">
        <v>169</v>
      </c>
      <c r="B54" s="31" t="s">
        <v>201</v>
      </c>
      <c r="C54" s="3">
        <v>1.35</v>
      </c>
      <c r="D54" s="3"/>
      <c r="E54" s="16"/>
      <c r="F54" s="16"/>
    </row>
    <row r="55" spans="1:6" ht="31.5" x14ac:dyDescent="0.25">
      <c r="A55" s="36" t="s">
        <v>203</v>
      </c>
      <c r="B55" s="31" t="s">
        <v>204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121</v>
      </c>
      <c r="C59" s="2"/>
      <c r="D59" s="2"/>
      <c r="E59" s="16"/>
      <c r="F59" s="16"/>
    </row>
    <row r="60" spans="1:6" ht="47.2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206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207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183</v>
      </c>
      <c r="B76" s="31" t="s">
        <v>170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184</v>
      </c>
      <c r="B77" s="31" t="s">
        <v>172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185</v>
      </c>
      <c r="B78" s="31" t="s">
        <v>174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186</v>
      </c>
      <c r="B79" s="37" t="s">
        <v>133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187</v>
      </c>
      <c r="B80" s="37" t="s">
        <v>176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188</v>
      </c>
      <c r="B81" s="37" t="s">
        <v>122</v>
      </c>
      <c r="C81" s="16">
        <v>0</v>
      </c>
      <c r="D81" s="16">
        <v>0</v>
      </c>
      <c r="E81" s="16">
        <v>0</v>
      </c>
      <c r="F81" s="16">
        <v>0</v>
      </c>
    </row>
    <row r="82" spans="1:6" ht="31.5" x14ac:dyDescent="0.25">
      <c r="A82" s="38" t="s">
        <v>208</v>
      </c>
      <c r="B82" s="37" t="s">
        <v>177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189</v>
      </c>
      <c r="B83" s="37" t="s">
        <v>179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209</v>
      </c>
      <c r="B84" s="37" t="s">
        <v>180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190</v>
      </c>
      <c r="B85" s="37" t="s">
        <v>147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210</v>
      </c>
      <c r="B86" s="37" t="s">
        <v>141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211</v>
      </c>
      <c r="B87" s="37" t="s">
        <v>140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212</v>
      </c>
      <c r="B88" s="37" t="s">
        <v>213</v>
      </c>
      <c r="C88" s="16">
        <v>0</v>
      </c>
      <c r="D88" s="16">
        <v>0</v>
      </c>
      <c r="E88" s="16"/>
      <c r="F88" s="16"/>
    </row>
    <row r="89" spans="1:6" x14ac:dyDescent="0.25">
      <c r="A89" s="38" t="s">
        <v>215</v>
      </c>
      <c r="B89" s="37" t="s">
        <v>216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191</v>
      </c>
      <c r="B90" s="37" t="s">
        <v>192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218</v>
      </c>
      <c r="B91" s="37" t="s">
        <v>198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219</v>
      </c>
      <c r="B92" s="37" t="s">
        <v>221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220</v>
      </c>
      <c r="B93" s="37" t="s">
        <v>194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223</v>
      </c>
      <c r="B94" s="37" t="s">
        <v>196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224</v>
      </c>
      <c r="B95" s="37" t="s">
        <v>225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227</v>
      </c>
      <c r="B96" s="37" t="s">
        <v>228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230</v>
      </c>
      <c r="B97" s="37" t="s">
        <v>231</v>
      </c>
      <c r="C97" s="16">
        <v>0</v>
      </c>
      <c r="D97" s="16">
        <v>0</v>
      </c>
      <c r="E97" s="16"/>
      <c r="F97" s="16"/>
    </row>
    <row r="98" spans="1:6" ht="31.5" x14ac:dyDescent="0.25">
      <c r="A98" s="38" t="s">
        <v>233</v>
      </c>
      <c r="B98" s="37" t="s">
        <v>234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236</v>
      </c>
      <c r="B99" s="37" t="s">
        <v>237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239</v>
      </c>
      <c r="B100" s="37" t="s">
        <v>240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242</v>
      </c>
      <c r="B101" s="37" t="s">
        <v>243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245</v>
      </c>
      <c r="B102" s="37" t="s">
        <v>246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2025-08-20T06:05:42Z</dcterms:modified>
</cp:coreProperties>
</file>